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EstaPastaDeTrabalho"/>
  <mc:AlternateContent xmlns:mc="http://schemas.openxmlformats.org/markup-compatibility/2006">
    <mc:Choice Requires="x15">
      <x15ac:absPath xmlns:x15ac="http://schemas.microsoft.com/office/spreadsheetml/2010/11/ac" url="C:\Users\thiag\Dropbox\IWA book\Chapter 4\"/>
    </mc:Choice>
  </mc:AlternateContent>
  <xr:revisionPtr revIDLastSave="0" documentId="13_ncr:1_{7BEC6EE5-3793-49FD-BF3E-CC892EBE958A}" xr6:coauthVersionLast="36" xr6:coauthVersionMax="36" xr10:uidLastSave="{00000000-0000-0000-0000-000000000000}"/>
  <bookViews>
    <workbookView xWindow="0" yWindow="0" windowWidth="28800" windowHeight="12450" xr2:uid="{00000000-000D-0000-FFFF-FFFF00000000}"/>
  </bookViews>
  <sheets>
    <sheet name="UASB reactor design" sheetId="8" r:id="rId1"/>
  </sheets>
  <definedNames>
    <definedName name="_Hlk360703" localSheetId="0">'UASB reactor design'!#REF!</definedName>
    <definedName name="_Hlk360951" localSheetId="0">'UASB reactor design'!#REF!</definedName>
    <definedName name="_xlnm.Print_Area" localSheetId="0">'UASB reactor design'!$A$1:$N$161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97" i="8" l="1"/>
  <c r="C29" i="8" l="1"/>
  <c r="H72" i="8" l="1"/>
  <c r="H95" i="8" s="1"/>
  <c r="H96" i="8" s="1"/>
  <c r="H82" i="8" l="1"/>
  <c r="H147" i="8" l="1"/>
  <c r="H149" i="8" s="1"/>
  <c r="H121" i="8"/>
  <c r="H120" i="8"/>
  <c r="H99" i="8"/>
  <c r="C30" i="8"/>
  <c r="H83" i="8"/>
  <c r="H85" i="8" l="1"/>
  <c r="H100" i="8" s="1"/>
  <c r="H107" i="8"/>
  <c r="H101" i="8" l="1"/>
  <c r="I103" i="8" s="1"/>
  <c r="C26" i="8"/>
  <c r="H103" i="8" l="1"/>
  <c r="E37" i="8"/>
  <c r="H88" i="8"/>
  <c r="H106" i="8"/>
  <c r="H48" i="8"/>
  <c r="E39" i="8"/>
  <c r="E38" i="8"/>
  <c r="H142" i="8" s="1"/>
  <c r="H143" i="8" s="1"/>
  <c r="H159" i="8" l="1"/>
  <c r="H92" i="8"/>
  <c r="I92" i="8"/>
  <c r="H144" i="8"/>
  <c r="H150" i="8" s="1"/>
  <c r="H161" i="8"/>
  <c r="H108" i="8"/>
  <c r="H110" i="8"/>
  <c r="H122" i="8" s="1"/>
  <c r="H123" i="8" s="1"/>
  <c r="H124" i="8" s="1"/>
  <c r="H52" i="8"/>
  <c r="H160" i="8"/>
  <c r="H89" i="8"/>
  <c r="H91" i="8" s="1"/>
  <c r="H131" i="8"/>
  <c r="H129" i="8"/>
  <c r="I125" i="8" l="1"/>
  <c r="H125" i="8"/>
  <c r="H154" i="8"/>
  <c r="H111" i="8"/>
  <c r="H133" i="8"/>
  <c r="H138" i="8" s="1"/>
  <c r="H135" i="8"/>
  <c r="H139" i="8" s="1"/>
  <c r="H56" i="8"/>
  <c r="H73" i="8" s="1"/>
  <c r="I112" i="8" l="1"/>
  <c r="H112" i="8"/>
</calcChain>
</file>

<file path=xl/sharedStrings.xml><?xml version="1.0" encoding="utf-8"?>
<sst xmlns="http://schemas.openxmlformats.org/spreadsheetml/2006/main" count="158" uniqueCount="149">
  <si>
    <t>Hydraulic design</t>
  </si>
  <si>
    <t xml:space="preserve">Input data -  Influent characterisation </t>
  </si>
  <si>
    <t>Per capita flow - L/PE.d</t>
  </si>
  <si>
    <t>BOD per capita - g/PE.d</t>
  </si>
  <si>
    <t>COD per capita - g/PE.d</t>
  </si>
  <si>
    <t>TSS per capita - g/PE.d</t>
  </si>
  <si>
    <t>Average temperature - °C</t>
  </si>
  <si>
    <t>Legend:</t>
  </si>
  <si>
    <t>Dependent cells</t>
  </si>
  <si>
    <r>
      <t>Influence area of each distributor (A</t>
    </r>
    <r>
      <rPr>
        <vertAlign val="subscript"/>
        <sz val="11"/>
        <color theme="1"/>
        <rFont val="Calibri"/>
        <family val="2"/>
        <scheme val="minor"/>
      </rPr>
      <t>d</t>
    </r>
    <r>
      <rPr>
        <sz val="11"/>
        <color theme="1"/>
        <rFont val="Calibri"/>
        <family val="2"/>
        <scheme val="minor"/>
      </rPr>
      <t>) - m²</t>
    </r>
  </si>
  <si>
    <r>
      <t>Number of distributors (N</t>
    </r>
    <r>
      <rPr>
        <vertAlign val="subscript"/>
        <sz val="11"/>
        <color theme="1"/>
        <rFont val="Calibri"/>
        <family val="2"/>
        <scheme val="minor"/>
      </rPr>
      <t>d</t>
    </r>
    <r>
      <rPr>
        <sz val="11"/>
        <color theme="1"/>
        <rFont val="Calibri"/>
        <family val="2"/>
        <scheme val="minor"/>
      </rPr>
      <t>)</t>
    </r>
  </si>
  <si>
    <t>Corrected Ad - m²</t>
  </si>
  <si>
    <t>UASB reactor area - m²/inhab.</t>
  </si>
  <si>
    <t>UASB reactor volume - L/inhab.</t>
  </si>
  <si>
    <t>[BOD] mg/L</t>
  </si>
  <si>
    <t>[COD] mg/L</t>
  </si>
  <si>
    <t>[TSS] mg/L</t>
  </si>
  <si>
    <t xml:space="preserve"> Some per capita indicators</t>
  </si>
  <si>
    <t>Anaerobic reactors for sewage treatment: design, construction, and operation - Supplementary material</t>
  </si>
  <si>
    <r>
      <t>Q</t>
    </r>
    <r>
      <rPr>
        <b/>
        <vertAlign val="subscript"/>
        <sz val="11"/>
        <color theme="1"/>
        <rFont val="Calibri"/>
        <family val="2"/>
        <scheme val="minor"/>
      </rPr>
      <t>max-h</t>
    </r>
  </si>
  <si>
    <t>Input data - Flow rate determination</t>
  </si>
  <si>
    <r>
      <t>Infiltration coeficient (C</t>
    </r>
    <r>
      <rPr>
        <vertAlign val="subscript"/>
        <sz val="11"/>
        <color theme="1"/>
        <rFont val="Calibri"/>
        <family val="2"/>
        <scheme val="minor"/>
      </rPr>
      <t>inf</t>
    </r>
    <r>
      <rPr>
        <sz val="11"/>
        <color theme="1"/>
        <rFont val="Calibri"/>
        <family val="2"/>
        <scheme val="minor"/>
      </rPr>
      <t>) - L/s.km</t>
    </r>
  </si>
  <si>
    <r>
      <t>Sewerage density (D</t>
    </r>
    <r>
      <rPr>
        <vertAlign val="subscript"/>
        <sz val="11"/>
        <color theme="1"/>
        <rFont val="Calibri"/>
        <family val="2"/>
        <scheme val="minor"/>
      </rPr>
      <t>sewers</t>
    </r>
    <r>
      <rPr>
        <sz val="11"/>
        <color theme="1"/>
        <rFont val="Calibri"/>
        <family val="2"/>
        <scheme val="minor"/>
      </rPr>
      <t>) - m/hab</t>
    </r>
  </si>
  <si>
    <t>Independent cells (values should be selected to fill out these cells)</t>
  </si>
  <si>
    <t>Remarks</t>
  </si>
  <si>
    <r>
      <t>Length of the upper GLS separator part (</t>
    </r>
    <r>
      <rPr>
        <i/>
        <sz val="11"/>
        <color theme="1"/>
        <rFont val="Calibri"/>
        <family val="2"/>
        <scheme val="minor"/>
      </rPr>
      <t>L</t>
    </r>
    <r>
      <rPr>
        <i/>
        <vertAlign val="subscript"/>
        <sz val="11"/>
        <color theme="1"/>
        <rFont val="Calibri"/>
        <family val="2"/>
        <scheme val="minor"/>
      </rPr>
      <t>GLS-upper</t>
    </r>
    <r>
      <rPr>
        <sz val="11"/>
        <color theme="1"/>
        <rFont val="Calibri"/>
        <family val="2"/>
        <scheme val="minor"/>
      </rPr>
      <t>) - m</t>
    </r>
  </si>
  <si>
    <r>
      <t>Length of the lower GLS separator part (</t>
    </r>
    <r>
      <rPr>
        <i/>
        <sz val="11"/>
        <color theme="1"/>
        <rFont val="Calibri"/>
        <family val="2"/>
        <scheme val="minor"/>
      </rPr>
      <t>L</t>
    </r>
    <r>
      <rPr>
        <i/>
        <vertAlign val="subscript"/>
        <sz val="11"/>
        <color theme="1"/>
        <rFont val="Calibri"/>
        <family val="2"/>
        <scheme val="minor"/>
      </rPr>
      <t>GLS-lower</t>
    </r>
    <r>
      <rPr>
        <sz val="11"/>
        <color theme="1"/>
        <rFont val="Calibri"/>
        <family val="2"/>
        <scheme val="minor"/>
      </rPr>
      <t>) - m</t>
    </r>
  </si>
  <si>
    <r>
      <t>Q</t>
    </r>
    <r>
      <rPr>
        <b/>
        <vertAlign val="subscript"/>
        <sz val="11"/>
        <color theme="1"/>
        <rFont val="Calibri"/>
        <family val="2"/>
        <scheme val="minor"/>
      </rPr>
      <t>av</t>
    </r>
  </si>
  <si>
    <r>
      <t>Average flow (Q</t>
    </r>
    <r>
      <rPr>
        <vertAlign val="subscript"/>
        <sz val="11"/>
        <color theme="1"/>
        <rFont val="Calibri"/>
        <family val="2"/>
        <scheme val="minor"/>
      </rPr>
      <t>av</t>
    </r>
    <r>
      <rPr>
        <sz val="11"/>
        <color theme="1"/>
        <rFont val="Calibri"/>
        <family val="2"/>
        <scheme val="minor"/>
      </rPr>
      <t>) - m³/h</t>
    </r>
  </si>
  <si>
    <r>
      <t>Maximum daily flow (Q</t>
    </r>
    <r>
      <rPr>
        <vertAlign val="subscript"/>
        <sz val="11"/>
        <color theme="1"/>
        <rFont val="Calibri"/>
        <family val="2"/>
        <scheme val="minor"/>
      </rPr>
      <t>max-d</t>
    </r>
    <r>
      <rPr>
        <sz val="11"/>
        <color theme="1"/>
        <rFont val="Calibri"/>
        <family val="2"/>
        <scheme val="minor"/>
      </rPr>
      <t>) - m³/h</t>
    </r>
  </si>
  <si>
    <r>
      <t>Maximum hourly flow (Q</t>
    </r>
    <r>
      <rPr>
        <vertAlign val="subscript"/>
        <sz val="11"/>
        <color theme="1"/>
        <rFont val="Calibri"/>
        <family val="2"/>
        <scheme val="minor"/>
      </rPr>
      <t>max-h</t>
    </r>
    <r>
      <rPr>
        <sz val="11"/>
        <color theme="1"/>
        <rFont val="Calibri"/>
        <family val="2"/>
        <scheme val="minor"/>
      </rPr>
      <t>) - m³/h</t>
    </r>
  </si>
  <si>
    <t>Spreadsheet developed by Chernicharo, C.A.L.; Bressani-Ribeiro, T.; Lobato, L.C.S and Brandt, E.M.F.</t>
  </si>
  <si>
    <t xml:space="preserve">Please refer to the following chapters: </t>
  </si>
  <si>
    <t>Chapter 9 for odour control facility design</t>
  </si>
  <si>
    <t>Chapter 8 and 12 for biogas recovery facility design</t>
  </si>
  <si>
    <t>Chapters 4 and 6 for sludge and scum handling facility design</t>
  </si>
  <si>
    <t>Chapter 4 for UASB reactor design criteria</t>
  </si>
  <si>
    <t>Chapter 10 and 11 for post-treatment systems design</t>
  </si>
  <si>
    <t>Population equivalent (PE) - inhab.</t>
  </si>
  <si>
    <t>Coefficient of the day of maximum water consumption (k1)</t>
  </si>
  <si>
    <t>Coefficient of the hour of maximum water consumption (k2)</t>
  </si>
  <si>
    <t>This approach can be changed by assuming dry wheather flow (DWF) conditions.</t>
  </si>
  <si>
    <t>See Table 4.3 (Chapter 4)</t>
  </si>
  <si>
    <t>1) Hydraulic retention time (HRT) adopted - h</t>
  </si>
  <si>
    <t>3) Number of UASB reactor modules (Nr)</t>
  </si>
  <si>
    <t>7.1)</t>
  </si>
  <si>
    <t>7.2)</t>
  </si>
  <si>
    <t>7.3)</t>
  </si>
  <si>
    <t>7.4)</t>
  </si>
  <si>
    <t>7.5)</t>
  </si>
  <si>
    <r>
      <t xml:space="preserve">The standardised width of the GLS separator </t>
    </r>
    <r>
      <rPr>
        <b/>
        <i/>
        <sz val="11"/>
        <color theme="1"/>
        <rFont val="Calibri"/>
        <family val="2"/>
        <scheme val="minor"/>
      </rPr>
      <t>Étsus 1000</t>
    </r>
    <r>
      <rPr>
        <i/>
        <sz val="11"/>
        <color theme="1"/>
        <rFont val="Calibri"/>
        <family val="2"/>
        <scheme val="minor"/>
      </rPr>
      <t xml:space="preserve"> is equal to 3.0 m (2*GLS</t>
    </r>
    <r>
      <rPr>
        <i/>
        <vertAlign val="subscript"/>
        <sz val="11"/>
        <color theme="1"/>
        <rFont val="Calibri"/>
        <family val="2"/>
        <scheme val="minor"/>
      </rPr>
      <t>W</t>
    </r>
    <r>
      <rPr>
        <i/>
        <sz val="11"/>
        <color theme="1"/>
        <rFont val="Calibri"/>
        <family val="2"/>
        <scheme val="minor"/>
      </rPr>
      <t>+GLS</t>
    </r>
    <r>
      <rPr>
        <i/>
        <vertAlign val="subscript"/>
        <sz val="11"/>
        <color theme="1"/>
        <rFont val="Calibri"/>
        <family val="2"/>
        <scheme val="minor"/>
      </rPr>
      <t>aperture</t>
    </r>
    <r>
      <rPr>
        <i/>
        <sz val="11"/>
        <color theme="1"/>
        <rFont val="Calibri"/>
        <family val="2"/>
        <scheme val="minor"/>
      </rPr>
      <t>+W</t>
    </r>
    <r>
      <rPr>
        <i/>
        <vertAlign val="subscript"/>
        <sz val="11"/>
        <color theme="1"/>
        <rFont val="Calibri"/>
        <family val="2"/>
        <scheme val="minor"/>
      </rPr>
      <t>gashood</t>
    </r>
    <r>
      <rPr>
        <i/>
        <sz val="11"/>
        <color theme="1"/>
        <rFont val="Calibri"/>
        <family val="2"/>
        <scheme val="minor"/>
      </rPr>
      <t>). See Example 4.2 (Chapter 4). Such standardised width is also equal to the centre-to-centre distance between two modular GLS separators.</t>
    </r>
  </si>
  <si>
    <t>7.6)</t>
  </si>
  <si>
    <t>7.7)</t>
  </si>
  <si>
    <t>Verification of the corrected area and volume of each UASB reactor module</t>
  </si>
  <si>
    <r>
      <t>Area (A</t>
    </r>
    <r>
      <rPr>
        <vertAlign val="subscript"/>
        <sz val="11"/>
        <color theme="1"/>
        <rFont val="Calibri"/>
        <family val="2"/>
        <scheme val="minor"/>
      </rPr>
      <t>r</t>
    </r>
    <r>
      <rPr>
        <sz val="11"/>
        <color theme="1"/>
        <rFont val="Calibri"/>
        <family val="2"/>
        <scheme val="minor"/>
      </rPr>
      <t>) - m²</t>
    </r>
  </si>
  <si>
    <r>
      <t>Useful volume  (V</t>
    </r>
    <r>
      <rPr>
        <vertAlign val="subscript"/>
        <sz val="11"/>
        <color theme="1"/>
        <rFont val="Calibri"/>
        <family val="2"/>
        <scheme val="minor"/>
      </rPr>
      <t>r</t>
    </r>
    <r>
      <rPr>
        <sz val="11"/>
        <color theme="1"/>
        <rFont val="Calibri"/>
        <family val="2"/>
        <scheme val="minor"/>
      </rPr>
      <t>) - m³</t>
    </r>
  </si>
  <si>
    <t>7.8)</t>
  </si>
  <si>
    <t>See Figure 4.19 (Chapter 4)</t>
  </si>
  <si>
    <t>7.9)</t>
  </si>
  <si>
    <t>Verification of the upflow velocities (v) - m/h</t>
  </si>
  <si>
    <t>7.10)</t>
  </si>
  <si>
    <t>Verification of the velocities through the apertures to the settler compartment</t>
  </si>
  <si>
    <r>
      <t>Total number of apertures between the GLS separator and the reactor wall (N</t>
    </r>
    <r>
      <rPr>
        <vertAlign val="subscript"/>
        <sz val="11"/>
        <color theme="1"/>
        <rFont val="Calibri"/>
        <family val="2"/>
        <scheme val="minor"/>
      </rPr>
      <t>apertureGLS-wall</t>
    </r>
    <r>
      <rPr>
        <sz val="11"/>
        <color theme="1"/>
        <rFont val="Calibri"/>
        <family val="2"/>
        <scheme val="minor"/>
      </rPr>
      <t>)</t>
    </r>
  </si>
  <si>
    <t>See Example 4.2 (Chapter 4)</t>
  </si>
  <si>
    <t>Total area of the apertures - m²</t>
  </si>
  <si>
    <t>7.11)</t>
  </si>
  <si>
    <t xml:space="preserve">Verification of the surface loading rates on the settler compartment </t>
  </si>
  <si>
    <t>7.12)</t>
  </si>
  <si>
    <t xml:space="preserve">Verification of the HRT on the settler compartment </t>
  </si>
  <si>
    <t>Determination of the influent distribution system</t>
  </si>
  <si>
    <t>7.13)</t>
  </si>
  <si>
    <t>See section 4.5 (Chapter 4)</t>
  </si>
  <si>
    <t>8) Estimation of the COD removal efficiency - %</t>
  </si>
  <si>
    <t>9) Estimation of the BOD removal efficiency - %</t>
  </si>
  <si>
    <t>10) Estimation of the effluent COD and BOD concentrations - mg/L</t>
  </si>
  <si>
    <t>Estimated effluent COD concentratrion</t>
  </si>
  <si>
    <t>Estimated effluent BOD concentratrion</t>
  </si>
  <si>
    <r>
      <t>Total number of apertures between GLS separators (N</t>
    </r>
    <r>
      <rPr>
        <vertAlign val="subscript"/>
        <sz val="11"/>
        <color theme="1"/>
        <rFont val="Calibri"/>
        <family val="2"/>
        <scheme val="minor"/>
      </rPr>
      <t>apertureGLS-GLS</t>
    </r>
    <r>
      <rPr>
        <sz val="11"/>
        <color theme="1"/>
        <rFont val="Calibri"/>
        <family val="2"/>
        <scheme val="minor"/>
      </rPr>
      <t>)</t>
    </r>
  </si>
  <si>
    <t>Verification of the corrected hydraulic retention time (HRT) - h</t>
  </si>
  <si>
    <t>Resulting UASB reactor module width - m</t>
  </si>
  <si>
    <r>
      <t>Width for the aperture between the GLS separator and the UASB reactor wall (</t>
    </r>
    <r>
      <rPr>
        <vertAlign val="subscript"/>
        <sz val="11"/>
        <color theme="1"/>
        <rFont val="Calibri"/>
        <family val="2"/>
        <scheme val="minor"/>
      </rPr>
      <t>Waperture-wall</t>
    </r>
    <r>
      <rPr>
        <sz val="11"/>
        <color theme="1"/>
        <rFont val="Calibri"/>
        <family val="2"/>
        <scheme val="minor"/>
      </rPr>
      <t>) - m</t>
    </r>
  </si>
  <si>
    <t>Required UASB reactor module width - m</t>
  </si>
  <si>
    <r>
      <t>Adopted width for the aperture between two contiguous GLS separators (GLS</t>
    </r>
    <r>
      <rPr>
        <vertAlign val="subscript"/>
        <sz val="11"/>
        <color theme="1"/>
        <rFont val="Calibri"/>
        <family val="2"/>
        <scheme val="minor"/>
      </rPr>
      <t>aperture</t>
    </r>
    <r>
      <rPr>
        <sz val="11"/>
        <color theme="1"/>
        <rFont val="Calibri"/>
        <family val="2"/>
        <scheme val="minor"/>
      </rPr>
      <t>) - m</t>
    </r>
  </si>
  <si>
    <r>
      <t>Length of each aperture (L</t>
    </r>
    <r>
      <rPr>
        <vertAlign val="subscript"/>
        <sz val="11"/>
        <color theme="1"/>
        <rFont val="Calibri"/>
        <family val="2"/>
        <scheme val="minor"/>
      </rPr>
      <t>aperture</t>
    </r>
    <r>
      <rPr>
        <sz val="11"/>
        <color theme="1"/>
        <rFont val="Calibri"/>
        <family val="2"/>
        <scheme val="minor"/>
      </rPr>
      <t>) - m</t>
    </r>
  </si>
  <si>
    <r>
      <t>Length of each settler (the same of L</t>
    </r>
    <r>
      <rPr>
        <vertAlign val="subscript"/>
        <sz val="11"/>
        <color theme="1"/>
        <rFont val="Calibri"/>
        <family val="2"/>
        <scheme val="minor"/>
      </rPr>
      <t>GLS-lower</t>
    </r>
    <r>
      <rPr>
        <sz val="11"/>
        <color theme="1"/>
        <rFont val="Calibri"/>
        <family val="2"/>
        <scheme val="minor"/>
      </rPr>
      <t>) - m</t>
    </r>
  </si>
  <si>
    <r>
      <t>Total length of the settlers (L</t>
    </r>
    <r>
      <rPr>
        <vertAlign val="subscript"/>
        <sz val="11"/>
        <color theme="1"/>
        <rFont val="Calibri"/>
        <family val="2"/>
        <scheme val="minor"/>
      </rPr>
      <t>tsettlers</t>
    </r>
    <r>
      <rPr>
        <sz val="11"/>
        <color theme="1"/>
        <rFont val="Calibri"/>
        <family val="2"/>
        <scheme val="minor"/>
      </rPr>
      <t>) - m</t>
    </r>
  </si>
  <si>
    <r>
      <t>Width of each GLS separator gas hood (W</t>
    </r>
    <r>
      <rPr>
        <vertAlign val="subscript"/>
        <sz val="11"/>
        <color theme="1"/>
        <rFont val="Calibri"/>
        <family val="2"/>
        <scheme val="minor"/>
      </rPr>
      <t>gashood</t>
    </r>
    <r>
      <rPr>
        <sz val="11"/>
        <color theme="1"/>
        <rFont val="Calibri"/>
        <family val="2"/>
        <scheme val="minor"/>
      </rPr>
      <t>) - m</t>
    </r>
  </si>
  <si>
    <r>
      <t>Useful width of each settler compartment (W</t>
    </r>
    <r>
      <rPr>
        <vertAlign val="subscript"/>
        <sz val="11"/>
        <color theme="1"/>
        <rFont val="Calibri"/>
        <family val="2"/>
        <scheme val="minor"/>
      </rPr>
      <t>settler</t>
    </r>
    <r>
      <rPr>
        <sz val="11"/>
        <color theme="1"/>
        <rFont val="Calibri"/>
        <family val="2"/>
        <scheme val="minor"/>
      </rPr>
      <t>)  - m</t>
    </r>
  </si>
  <si>
    <r>
      <t>Total area of the settlers (A</t>
    </r>
    <r>
      <rPr>
        <vertAlign val="subscript"/>
        <sz val="11"/>
        <color theme="1"/>
        <rFont val="Calibri"/>
        <family val="2"/>
        <scheme val="minor"/>
      </rPr>
      <t>settler</t>
    </r>
    <r>
      <rPr>
        <sz val="11"/>
        <color theme="1"/>
        <rFont val="Calibri"/>
        <family val="2"/>
        <scheme val="minor"/>
      </rPr>
      <t>) - m²</t>
    </r>
  </si>
  <si>
    <t>Surface loading rates on the settler compartment - m/h</t>
  </si>
  <si>
    <r>
      <t>Adopted depth for the inclined GLS separator wall (GLS</t>
    </r>
    <r>
      <rPr>
        <vertAlign val="subscript"/>
        <sz val="11"/>
        <color theme="1"/>
        <rFont val="Calibri"/>
        <family val="2"/>
        <scheme val="minor"/>
      </rPr>
      <t>H</t>
    </r>
    <r>
      <rPr>
        <sz val="11"/>
        <color theme="1"/>
        <rFont val="Calibri"/>
        <family val="2"/>
        <scheme val="minor"/>
      </rPr>
      <t>) - m</t>
    </r>
  </si>
  <si>
    <r>
      <t>Adopted depth for the vertical GLS separator wall (GLS</t>
    </r>
    <r>
      <rPr>
        <vertAlign val="subscript"/>
        <sz val="11"/>
        <color theme="1"/>
        <rFont val="Calibri"/>
        <family val="2"/>
        <scheme val="minor"/>
      </rPr>
      <t>V</t>
    </r>
    <r>
      <rPr>
        <sz val="11"/>
        <color theme="1"/>
        <rFont val="Calibri"/>
        <family val="2"/>
        <scheme val="minor"/>
      </rPr>
      <t>) - m</t>
    </r>
  </si>
  <si>
    <r>
      <t>Adopted slope for the inclined GLS separator wall (GLS</t>
    </r>
    <r>
      <rPr>
        <vertAlign val="subscript"/>
        <sz val="11"/>
        <color theme="1"/>
        <rFont val="Calibri"/>
        <family val="2"/>
        <scheme val="minor"/>
      </rPr>
      <t>S</t>
    </r>
    <r>
      <rPr>
        <sz val="11"/>
        <color theme="1"/>
        <rFont val="Calibri"/>
        <family val="2"/>
        <scheme val="minor"/>
      </rPr>
      <t>) - °</t>
    </r>
  </si>
  <si>
    <r>
      <t>Width of the inclined GLS separator wall (GLS</t>
    </r>
    <r>
      <rPr>
        <vertAlign val="subscript"/>
        <sz val="11"/>
        <color theme="1"/>
        <rFont val="Calibri"/>
        <family val="2"/>
        <scheme val="minor"/>
      </rPr>
      <t>W</t>
    </r>
    <r>
      <rPr>
        <sz val="11"/>
        <color theme="1"/>
        <rFont val="Calibri"/>
        <family val="2"/>
        <scheme val="minor"/>
      </rPr>
      <t>) - m</t>
    </r>
  </si>
  <si>
    <t>See Figure 4.14 (Chapter 4)</t>
  </si>
  <si>
    <r>
      <t>Rectangular area; between the triangular areas (A</t>
    </r>
    <r>
      <rPr>
        <vertAlign val="subscript"/>
        <sz val="11"/>
        <color theme="1"/>
        <rFont val="Calibri"/>
        <family val="2"/>
        <scheme val="minor"/>
      </rPr>
      <t>settler2</t>
    </r>
    <r>
      <rPr>
        <sz val="11"/>
        <color theme="1"/>
        <rFont val="Calibri"/>
        <family val="2"/>
        <scheme val="minor"/>
      </rPr>
      <t>) - m²</t>
    </r>
  </si>
  <si>
    <r>
      <t>Triangular area; between the inclined walls of the GLS settler (A</t>
    </r>
    <r>
      <rPr>
        <vertAlign val="subscript"/>
        <sz val="11"/>
        <color theme="1"/>
        <rFont val="Calibri"/>
        <family val="2"/>
        <scheme val="minor"/>
      </rPr>
      <t>settler1</t>
    </r>
    <r>
      <rPr>
        <sz val="11"/>
        <color theme="1"/>
        <rFont val="Calibri"/>
        <family val="2"/>
        <scheme val="minor"/>
      </rPr>
      <t>) - m²</t>
    </r>
  </si>
  <si>
    <r>
      <t>Rectangular area; between the vertical walls of the GLS settler (A</t>
    </r>
    <r>
      <rPr>
        <vertAlign val="subscript"/>
        <sz val="11"/>
        <color theme="1"/>
        <rFont val="Calibri"/>
        <family val="2"/>
        <scheme val="minor"/>
      </rPr>
      <t>settler3</t>
    </r>
    <r>
      <rPr>
        <sz val="11"/>
        <color theme="1"/>
        <rFont val="Calibri"/>
        <family val="2"/>
        <scheme val="minor"/>
      </rPr>
      <t>) - m²</t>
    </r>
  </si>
  <si>
    <r>
      <t>Total area along the settler compartment depth (A</t>
    </r>
    <r>
      <rPr>
        <vertAlign val="subscript"/>
        <sz val="11"/>
        <color theme="1"/>
        <rFont val="Calibri"/>
        <family val="2"/>
        <scheme val="minor"/>
      </rPr>
      <t>settler</t>
    </r>
    <r>
      <rPr>
        <sz val="11"/>
        <color theme="1"/>
        <rFont val="Calibri"/>
        <family val="2"/>
        <scheme val="minor"/>
      </rPr>
      <t>) - m²</t>
    </r>
  </si>
  <si>
    <r>
      <t>Number of settler compartments of each module (N</t>
    </r>
    <r>
      <rPr>
        <vertAlign val="subscript"/>
        <sz val="11"/>
        <color theme="1"/>
        <rFont val="Calibri"/>
        <family val="2"/>
        <scheme val="minor"/>
      </rPr>
      <t>settler</t>
    </r>
    <r>
      <rPr>
        <sz val="11"/>
        <color theme="1"/>
        <rFont val="Calibri"/>
        <family val="2"/>
        <scheme val="minor"/>
      </rPr>
      <t>)</t>
    </r>
  </si>
  <si>
    <r>
      <t>Total volume of the settler compartment (V</t>
    </r>
    <r>
      <rPr>
        <vertAlign val="subscript"/>
        <sz val="11"/>
        <color theme="1"/>
        <rFont val="Calibri"/>
        <family val="2"/>
        <scheme val="minor"/>
      </rPr>
      <t>settler</t>
    </r>
    <r>
      <rPr>
        <sz val="11"/>
        <color theme="1"/>
        <rFont val="Calibri"/>
        <family val="2"/>
        <scheme val="minor"/>
      </rPr>
      <t>) - m³</t>
    </r>
  </si>
  <si>
    <r>
      <t>Estimation of the biogas flow rate (Q</t>
    </r>
    <r>
      <rPr>
        <vertAlign val="subscript"/>
        <sz val="10"/>
        <color theme="1"/>
        <rFont val="Times New Roman"/>
        <family val="1"/>
      </rPr>
      <t>g</t>
    </r>
    <r>
      <rPr>
        <sz val="10"/>
        <color theme="1"/>
        <rFont val="Times New Roman"/>
        <family val="1"/>
      </rPr>
      <t xml:space="preserve">) - </t>
    </r>
    <r>
      <rPr>
        <i/>
        <sz val="10"/>
        <color theme="1"/>
        <rFont val="Times New Roman"/>
        <family val="1"/>
      </rPr>
      <t>adopting a methane content of 75%</t>
    </r>
  </si>
  <si>
    <t>See Chapter 8</t>
  </si>
  <si>
    <t>See example 2 (Chapter 8): COD removal efficiency (in terms of filtered COD) = 80%</t>
  </si>
  <si>
    <r>
      <t>Methane yield (Y</t>
    </r>
    <r>
      <rPr>
        <vertAlign val="subscript"/>
        <sz val="11"/>
        <color theme="1"/>
        <rFont val="Calibri"/>
        <family val="2"/>
        <scheme val="minor"/>
      </rPr>
      <t>CH4</t>
    </r>
    <r>
      <rPr>
        <sz val="11"/>
        <color theme="1"/>
        <rFont val="Calibri"/>
        <family val="2"/>
        <scheme val="minor"/>
      </rPr>
      <t>) - NLCH</t>
    </r>
    <r>
      <rPr>
        <vertAlign val="subscript"/>
        <sz val="11"/>
        <color theme="1"/>
        <rFont val="Calibri"/>
        <family val="2"/>
        <scheme val="minor"/>
      </rPr>
      <t>4/</t>
    </r>
    <r>
      <rPr>
        <sz val="11"/>
        <color theme="1"/>
        <rFont val="Calibri"/>
        <family val="2"/>
        <scheme val="minor"/>
      </rPr>
      <t>kgCOD</t>
    </r>
    <r>
      <rPr>
        <vertAlign val="subscript"/>
        <sz val="11"/>
        <color theme="1"/>
        <rFont val="Calibri"/>
        <family val="2"/>
        <scheme val="minor"/>
      </rPr>
      <t>remov</t>
    </r>
  </si>
  <si>
    <r>
      <t>Estimation of the organic load removed (OL</t>
    </r>
    <r>
      <rPr>
        <vertAlign val="subscript"/>
        <sz val="11"/>
        <color theme="1"/>
        <rFont val="Calibri "/>
      </rPr>
      <t>remov</t>
    </r>
    <r>
      <rPr>
        <sz val="11"/>
        <color theme="1"/>
        <rFont val="Calibri "/>
      </rPr>
      <t>)</t>
    </r>
    <r>
      <rPr>
        <sz val="11"/>
        <color theme="1"/>
        <rFont val="Calibri"/>
        <family val="2"/>
        <scheme val="minor"/>
      </rPr>
      <t xml:space="preserve"> - kgCOD</t>
    </r>
    <r>
      <rPr>
        <vertAlign val="subscript"/>
        <sz val="11"/>
        <color theme="1"/>
        <rFont val="Calibri"/>
        <family val="2"/>
        <scheme val="minor"/>
      </rPr>
      <t>remov</t>
    </r>
    <r>
      <rPr>
        <sz val="11"/>
        <color theme="1"/>
        <rFont val="Calibri"/>
        <family val="2"/>
        <scheme val="minor"/>
      </rPr>
      <t>/d</t>
    </r>
  </si>
  <si>
    <r>
      <t>Estimation of the daily methane production (Q</t>
    </r>
    <r>
      <rPr>
        <vertAlign val="subscript"/>
        <sz val="10"/>
        <color theme="1"/>
        <rFont val="Times New Roman"/>
        <family val="1"/>
      </rPr>
      <t>CH4</t>
    </r>
    <r>
      <rPr>
        <sz val="10"/>
        <color theme="1"/>
        <rFont val="Times New Roman"/>
        <family val="1"/>
      </rPr>
      <t>)</t>
    </r>
    <r>
      <rPr>
        <sz val="11"/>
        <color theme="1"/>
        <rFont val="Calibri"/>
        <family val="2"/>
        <scheme val="minor"/>
      </rPr>
      <t xml:space="preserve"> - m³CH</t>
    </r>
    <r>
      <rPr>
        <vertAlign val="subscript"/>
        <sz val="11"/>
        <color theme="1"/>
        <rFont val="Calibri"/>
        <family val="2"/>
        <scheme val="minor"/>
      </rPr>
      <t>4</t>
    </r>
    <r>
      <rPr>
        <sz val="11"/>
        <color theme="1"/>
        <rFont val="Calibri"/>
        <family val="2"/>
        <scheme val="minor"/>
      </rPr>
      <t>/d</t>
    </r>
  </si>
  <si>
    <t>12) Verification of the biogas release rate (Kg) in the GLS gashood</t>
  </si>
  <si>
    <r>
      <t>Total length of the gas collector (L</t>
    </r>
    <r>
      <rPr>
        <vertAlign val="subscript"/>
        <sz val="11"/>
        <color theme="1"/>
        <rFont val="Calibri"/>
        <family val="2"/>
        <scheme val="minor"/>
      </rPr>
      <t>gascollector</t>
    </r>
    <r>
      <rPr>
        <sz val="11"/>
        <color theme="1"/>
        <rFont val="Calibri"/>
        <family val="2"/>
        <scheme val="minor"/>
      </rPr>
      <t>) - m</t>
    </r>
  </si>
  <si>
    <r>
      <t>Adopted free space between the scum removal channel and the GLS separator wall (W</t>
    </r>
    <r>
      <rPr>
        <vertAlign val="subscript"/>
        <sz val="11"/>
        <color theme="1"/>
        <rFont val="Calibri"/>
        <family val="2"/>
        <scheme val="minor"/>
      </rPr>
      <t>free</t>
    </r>
    <r>
      <rPr>
        <sz val="11"/>
        <color theme="1"/>
        <rFont val="Calibri"/>
        <family val="2"/>
        <scheme val="minor"/>
      </rPr>
      <t>) - m</t>
    </r>
  </si>
  <si>
    <r>
      <t>Total area of the gas collectors (A</t>
    </r>
    <r>
      <rPr>
        <vertAlign val="subscript"/>
        <sz val="11"/>
        <color theme="1"/>
        <rFont val="Calibri"/>
        <family val="2"/>
        <scheme val="minor"/>
      </rPr>
      <t>gascollector</t>
    </r>
    <r>
      <rPr>
        <sz val="11"/>
        <color theme="1"/>
        <rFont val="Calibri"/>
        <family val="2"/>
        <scheme val="minor"/>
      </rPr>
      <t>) - m²</t>
    </r>
  </si>
  <si>
    <t>Biogas release rate in the gas collectors (Kg) - m³/m².h</t>
  </si>
  <si>
    <t>13) Determination of the biogas piping diametre</t>
  </si>
  <si>
    <r>
      <t>Adopted velocity (v</t>
    </r>
    <r>
      <rPr>
        <vertAlign val="subscript"/>
        <sz val="11"/>
        <color theme="1"/>
        <rFont val="Calibri"/>
        <family val="2"/>
        <scheme val="minor"/>
      </rPr>
      <t>gas</t>
    </r>
    <r>
      <rPr>
        <sz val="11"/>
        <color theme="1"/>
        <rFont val="Calibri"/>
        <family val="2"/>
        <scheme val="minor"/>
      </rPr>
      <t>) - m/s</t>
    </r>
  </si>
  <si>
    <r>
      <t>Pipe diameter (D</t>
    </r>
    <r>
      <rPr>
        <vertAlign val="subscript"/>
        <sz val="11"/>
        <color theme="1"/>
        <rFont val="Calibri"/>
        <family val="2"/>
        <scheme val="minor"/>
      </rPr>
      <t>gas</t>
    </r>
    <r>
      <rPr>
        <sz val="11"/>
        <color theme="1"/>
        <rFont val="Calibri"/>
        <family val="2"/>
        <scheme val="minor"/>
      </rPr>
      <t>) - mm</t>
    </r>
  </si>
  <si>
    <t>Minimum diameter of 50 mm (see section 4.4.8 - Chapter 4)</t>
  </si>
  <si>
    <r>
      <t>Unitary methane yield - NL</t>
    </r>
    <r>
      <rPr>
        <vertAlign val="subscript"/>
        <sz val="11"/>
        <color theme="1"/>
        <rFont val="Calibri"/>
        <family val="2"/>
        <scheme val="minor"/>
      </rPr>
      <t>CH4</t>
    </r>
    <r>
      <rPr>
        <sz val="11"/>
        <color theme="1"/>
        <rFont val="Calibri"/>
        <family val="2"/>
        <scheme val="minor"/>
      </rPr>
      <t xml:space="preserve">/PE.d </t>
    </r>
  </si>
  <si>
    <t>Along the width of the reactor - see Figure 4.19 (Chapter 4)</t>
  </si>
  <si>
    <r>
      <t>Adopted N</t>
    </r>
    <r>
      <rPr>
        <vertAlign val="subscript"/>
        <sz val="11"/>
        <color theme="1"/>
        <rFont val="Calibri"/>
        <family val="2"/>
        <scheme val="minor"/>
      </rPr>
      <t>d</t>
    </r>
  </si>
  <si>
    <r>
      <t>Preferably a multiple of 3 m, because of the GLS separator (</t>
    </r>
    <r>
      <rPr>
        <b/>
        <i/>
        <sz val="11"/>
        <color theme="1"/>
        <rFont val="Calibri"/>
        <family val="2"/>
        <scheme val="minor"/>
      </rPr>
      <t>Étsus 1000</t>
    </r>
    <r>
      <rPr>
        <i/>
        <sz val="11"/>
        <color theme="1"/>
        <rFont val="Calibri"/>
        <family val="2"/>
        <scheme val="minor"/>
      </rPr>
      <t>) standard dimension.</t>
    </r>
  </si>
  <si>
    <r>
      <t>&lt; 2.0-2.3</t>
    </r>
    <r>
      <rPr>
        <i/>
        <sz val="10.8"/>
        <color theme="1"/>
        <rFont val="Calibri"/>
        <family val="2"/>
      </rPr>
      <t>m/h for Q</t>
    </r>
    <r>
      <rPr>
        <i/>
        <vertAlign val="subscript"/>
        <sz val="10.8"/>
        <color theme="1"/>
        <rFont val="Calibri"/>
        <family val="2"/>
      </rPr>
      <t>av</t>
    </r>
    <r>
      <rPr>
        <i/>
        <sz val="10.8"/>
        <color theme="1"/>
        <rFont val="Calibri"/>
        <family val="2"/>
      </rPr>
      <t>; &lt; 4.0-4.2 m/h for Q</t>
    </r>
    <r>
      <rPr>
        <i/>
        <vertAlign val="subscript"/>
        <sz val="10.8"/>
        <color theme="1"/>
        <rFont val="Calibri"/>
        <family val="2"/>
      </rPr>
      <t>max-h</t>
    </r>
  </si>
  <si>
    <r>
      <t xml:space="preserve">0.6-0.8 </t>
    </r>
    <r>
      <rPr>
        <i/>
        <sz val="10.8"/>
        <color theme="1"/>
        <rFont val="Calibri"/>
        <family val="2"/>
      </rPr>
      <t>m/h for Q</t>
    </r>
    <r>
      <rPr>
        <i/>
        <vertAlign val="subscript"/>
        <sz val="10.8"/>
        <color theme="1"/>
        <rFont val="Calibri"/>
        <family val="2"/>
      </rPr>
      <t>av</t>
    </r>
    <r>
      <rPr>
        <i/>
        <sz val="10.8"/>
        <color theme="1"/>
        <rFont val="Calibri"/>
        <family val="2"/>
      </rPr>
      <t>; &lt;</t>
    </r>
    <r>
      <rPr>
        <i/>
        <sz val="11"/>
        <color theme="1"/>
        <rFont val="Calibri"/>
        <family val="2"/>
      </rPr>
      <t xml:space="preserve"> 1.2 m/h for Q</t>
    </r>
    <r>
      <rPr>
        <i/>
        <vertAlign val="subscript"/>
        <sz val="11"/>
        <color theme="1"/>
        <rFont val="Calibri"/>
        <family val="2"/>
      </rPr>
      <t>max-h</t>
    </r>
  </si>
  <si>
    <r>
      <t>0.5-0.7 m/h for Q</t>
    </r>
    <r>
      <rPr>
        <vertAlign val="subscript"/>
        <sz val="11"/>
        <color theme="1"/>
        <rFont val="Calibri"/>
        <family val="2"/>
        <scheme val="minor"/>
      </rPr>
      <t>av</t>
    </r>
    <r>
      <rPr>
        <sz val="11"/>
        <color theme="1"/>
        <rFont val="Calibri"/>
        <family val="2"/>
        <scheme val="minor"/>
      </rPr>
      <t>; &lt; 1.1 m/h for Q</t>
    </r>
    <r>
      <rPr>
        <vertAlign val="subscript"/>
        <sz val="11"/>
        <color theme="1"/>
        <rFont val="Calibri"/>
        <family val="2"/>
        <scheme val="minor"/>
      </rPr>
      <t>max-h</t>
    </r>
  </si>
  <si>
    <r>
      <t>2.0-3.0 m</t>
    </r>
    <r>
      <rPr>
        <i/>
        <vertAlign val="superscript"/>
        <sz val="11"/>
        <color theme="1"/>
        <rFont val="Calibri"/>
        <family val="2"/>
        <scheme val="minor"/>
      </rPr>
      <t>2</t>
    </r>
    <r>
      <rPr>
        <i/>
        <sz val="11"/>
        <color theme="1"/>
        <rFont val="Calibri"/>
        <family val="2"/>
        <scheme val="minor"/>
      </rPr>
      <t>/feed point</t>
    </r>
  </si>
  <si>
    <t>GLS model 1</t>
  </si>
  <si>
    <t>GLS model 2</t>
  </si>
  <si>
    <t>GLS model 3</t>
  </si>
  <si>
    <t>The methane yield used to estimate biogas production considers losses of methane, such as leaks and dissolution in the liquid effluent (see Chapter 8). Therefore, it is difficult to meet the minimum biogas release rate (see Table 4.11 - Chapter 4).</t>
  </si>
  <si>
    <r>
      <t>Length of the upper GLS separator part (L</t>
    </r>
    <r>
      <rPr>
        <b/>
        <vertAlign val="subscript"/>
        <sz val="11"/>
        <color theme="1"/>
        <rFont val="Calibri"/>
        <family val="2"/>
        <scheme val="minor"/>
      </rPr>
      <t>GLS-upper</t>
    </r>
    <r>
      <rPr>
        <b/>
        <sz val="11"/>
        <color theme="1"/>
        <rFont val="Calibri"/>
        <family val="2"/>
        <scheme val="minor"/>
      </rPr>
      <t>) - m</t>
    </r>
  </si>
  <si>
    <r>
      <t>Review value (</t>
    </r>
    <r>
      <rPr>
        <i/>
        <sz val="11"/>
        <color theme="1"/>
        <rFont val="Calibri"/>
        <family val="2"/>
        <scheme val="minor"/>
      </rPr>
      <t>special attention to the ranges associated with cells highlighted in light grey</t>
    </r>
    <r>
      <rPr>
        <sz val="11"/>
        <color theme="1"/>
        <rFont val="Calibri"/>
        <family val="2"/>
        <scheme val="minor"/>
      </rPr>
      <t>)</t>
    </r>
  </si>
  <si>
    <r>
      <t>Velocities through the apertures (v</t>
    </r>
    <r>
      <rPr>
        <b/>
        <vertAlign val="subscript"/>
        <sz val="11"/>
        <color theme="1"/>
        <rFont val="Calibri"/>
        <family val="2"/>
        <scheme val="minor"/>
      </rPr>
      <t>a</t>
    </r>
    <r>
      <rPr>
        <b/>
        <sz val="11"/>
        <color theme="1"/>
        <rFont val="Calibri"/>
        <family val="2"/>
        <scheme val="minor"/>
      </rPr>
      <t>) - m/h</t>
    </r>
  </si>
  <si>
    <r>
      <t>HRT of the settler compartment (HRT</t>
    </r>
    <r>
      <rPr>
        <b/>
        <vertAlign val="subscript"/>
        <sz val="11"/>
        <color theme="1"/>
        <rFont val="Calibri"/>
        <family val="2"/>
        <scheme val="minor"/>
      </rPr>
      <t>settler</t>
    </r>
    <r>
      <rPr>
        <b/>
        <sz val="11"/>
        <color theme="1"/>
        <rFont val="Calibri"/>
        <family val="2"/>
        <scheme val="minor"/>
      </rPr>
      <t>) - h</t>
    </r>
  </si>
  <si>
    <r>
      <t>11) Estimation of the biogas flow rate (Q</t>
    </r>
    <r>
      <rPr>
        <b/>
        <vertAlign val="subscript"/>
        <sz val="11"/>
        <color theme="1"/>
        <rFont val="Calibri"/>
        <family val="2"/>
        <scheme val="minor"/>
      </rPr>
      <t>g</t>
    </r>
    <r>
      <rPr>
        <b/>
        <sz val="11"/>
        <color theme="1"/>
        <rFont val="Calibri"/>
        <family val="2"/>
        <scheme val="minor"/>
      </rPr>
      <t>)</t>
    </r>
  </si>
  <si>
    <r>
      <t>Adopted diameter (D</t>
    </r>
    <r>
      <rPr>
        <b/>
        <vertAlign val="subscript"/>
        <sz val="11"/>
        <color theme="1"/>
        <rFont val="Calibri"/>
        <family val="2"/>
        <scheme val="minor"/>
      </rPr>
      <t>gas</t>
    </r>
    <r>
      <rPr>
        <b/>
        <sz val="11"/>
        <color theme="1"/>
        <rFont val="Calibri"/>
        <family val="2"/>
        <scheme val="minor"/>
      </rPr>
      <t>) - mm</t>
    </r>
  </si>
  <si>
    <r>
      <t>Length of each UASB reactor module (L</t>
    </r>
    <r>
      <rPr>
        <b/>
        <vertAlign val="subscript"/>
        <sz val="11"/>
        <color theme="1"/>
        <rFont val="Calibri"/>
        <family val="2"/>
        <scheme val="minor"/>
      </rPr>
      <t>UASB</t>
    </r>
    <r>
      <rPr>
        <b/>
        <sz val="11"/>
        <color theme="1"/>
        <rFont val="Calibri"/>
        <family val="2"/>
        <scheme val="minor"/>
      </rPr>
      <t>) - m</t>
    </r>
  </si>
  <si>
    <r>
      <t>GLS separator (</t>
    </r>
    <r>
      <rPr>
        <b/>
        <i/>
        <u/>
        <sz val="11"/>
        <color theme="1"/>
        <rFont val="Calibri"/>
        <family val="2"/>
        <scheme val="minor"/>
      </rPr>
      <t>Étsus 1000</t>
    </r>
    <r>
      <rPr>
        <b/>
        <sz val="11"/>
        <color theme="1"/>
        <rFont val="Calibri"/>
        <family val="2"/>
        <scheme val="minor"/>
      </rPr>
      <t>) model selection</t>
    </r>
  </si>
  <si>
    <r>
      <t>Number of GLS separators (</t>
    </r>
    <r>
      <rPr>
        <b/>
        <i/>
        <u/>
        <sz val="11"/>
        <color theme="1"/>
        <rFont val="Calibri"/>
        <family val="2"/>
        <scheme val="minor"/>
      </rPr>
      <t>Étsus 1000</t>
    </r>
    <r>
      <rPr>
        <b/>
        <sz val="11"/>
        <color theme="1"/>
        <rFont val="Calibri"/>
        <family val="2"/>
        <scheme val="minor"/>
      </rPr>
      <t>) (N</t>
    </r>
    <r>
      <rPr>
        <b/>
        <vertAlign val="subscript"/>
        <sz val="11"/>
        <color theme="1"/>
        <rFont val="Calibri"/>
        <family val="2"/>
        <scheme val="minor"/>
      </rPr>
      <t>GLS</t>
    </r>
    <r>
      <rPr>
        <b/>
        <sz val="11"/>
        <color theme="1"/>
        <rFont val="Calibri"/>
        <family val="2"/>
        <scheme val="minor"/>
      </rPr>
      <t>)</t>
    </r>
  </si>
  <si>
    <r>
      <t>7) Dimensions of each UASB reactor module based on the available GLS separator (</t>
    </r>
    <r>
      <rPr>
        <b/>
        <i/>
        <sz val="11"/>
        <color theme="1"/>
        <rFont val="Calibri"/>
        <family val="2"/>
        <scheme val="minor"/>
      </rPr>
      <t>Étsus 1000</t>
    </r>
    <r>
      <rPr>
        <b/>
        <sz val="11"/>
        <color theme="1"/>
        <rFont val="Calibri"/>
        <family val="2"/>
        <scheme val="minor"/>
      </rPr>
      <t>) dimensions</t>
    </r>
  </si>
  <si>
    <r>
      <t>6) Area of each UASB reactor module (A</t>
    </r>
    <r>
      <rPr>
        <b/>
        <vertAlign val="subscript"/>
        <sz val="11"/>
        <color theme="1"/>
        <rFont val="Calibri"/>
        <family val="2"/>
        <scheme val="minor"/>
      </rPr>
      <t>r</t>
    </r>
    <r>
      <rPr>
        <b/>
        <sz val="11"/>
        <color theme="1"/>
        <rFont val="Calibri"/>
        <family val="2"/>
        <scheme val="minor"/>
      </rPr>
      <t>) - m²</t>
    </r>
  </si>
  <si>
    <r>
      <t>5) Useful depth of the UASB reactor (H</t>
    </r>
    <r>
      <rPr>
        <b/>
        <vertAlign val="subscript"/>
        <sz val="11"/>
        <color theme="1"/>
        <rFont val="Calibri"/>
        <family val="2"/>
        <scheme val="minor"/>
      </rPr>
      <t>u</t>
    </r>
    <r>
      <rPr>
        <b/>
        <sz val="11"/>
        <color theme="1"/>
        <rFont val="Calibri"/>
        <family val="2"/>
        <scheme val="minor"/>
      </rPr>
      <t>) - m</t>
    </r>
  </si>
  <si>
    <r>
      <t>4) Useful volume of each UASB reactor module (V</t>
    </r>
    <r>
      <rPr>
        <b/>
        <vertAlign val="subscript"/>
        <sz val="11"/>
        <color theme="1"/>
        <rFont val="Calibri"/>
        <family val="2"/>
        <scheme val="minor"/>
      </rPr>
      <t>r</t>
    </r>
    <r>
      <rPr>
        <b/>
        <sz val="11"/>
        <color theme="1"/>
        <rFont val="Calibri"/>
        <family val="2"/>
        <scheme val="minor"/>
      </rPr>
      <t>) - m³</t>
    </r>
  </si>
  <si>
    <r>
      <t>2) Total UASB reactor volume (V</t>
    </r>
    <r>
      <rPr>
        <b/>
        <vertAlign val="subscript"/>
        <sz val="11"/>
        <color theme="1"/>
        <rFont val="Calibri"/>
        <family val="2"/>
        <scheme val="minor"/>
      </rPr>
      <t>t</t>
    </r>
    <r>
      <rPr>
        <b/>
        <sz val="11"/>
        <color theme="1"/>
        <rFont val="Calibri"/>
        <family val="2"/>
        <scheme val="minor"/>
      </rPr>
      <t>) - m³</t>
    </r>
  </si>
  <si>
    <r>
      <t>Total number of adopted GLS separators</t>
    </r>
    <r>
      <rPr>
        <b/>
        <sz val="11"/>
        <color theme="1"/>
        <rFont val="Calibri"/>
        <family val="2"/>
        <scheme val="minor"/>
      </rPr>
      <t xml:space="preserve"> </t>
    </r>
    <r>
      <rPr>
        <b/>
        <i/>
        <sz val="11"/>
        <color theme="1"/>
        <rFont val="Calibri"/>
        <family val="2"/>
        <scheme val="minor"/>
      </rPr>
      <t>(</t>
    </r>
    <r>
      <rPr>
        <b/>
        <i/>
        <u/>
        <sz val="11"/>
        <color theme="1"/>
        <rFont val="Calibri"/>
        <family val="2"/>
        <scheme val="minor"/>
      </rPr>
      <t>Étsus 1000</t>
    </r>
    <r>
      <rPr>
        <b/>
        <sz val="11"/>
        <color theme="1"/>
        <rFont val="Calibri"/>
        <family val="2"/>
        <scheme val="minor"/>
      </rPr>
      <t>)</t>
    </r>
  </si>
  <si>
    <r>
      <rPr>
        <sz val="10.8"/>
        <color theme="1"/>
        <rFont val="Calibri"/>
        <family val="2"/>
      </rPr>
      <t>≥</t>
    </r>
    <r>
      <rPr>
        <i/>
        <sz val="10.8"/>
        <color theme="1"/>
        <rFont val="Calibri"/>
        <family val="2"/>
      </rPr>
      <t xml:space="preserve"> 1.5-2.0 h for Q</t>
    </r>
    <r>
      <rPr>
        <i/>
        <vertAlign val="subscript"/>
        <sz val="10.8"/>
        <color theme="1"/>
        <rFont val="Calibri"/>
        <family val="2"/>
      </rPr>
      <t>av</t>
    </r>
    <r>
      <rPr>
        <i/>
        <sz val="10.8"/>
        <color theme="1"/>
        <rFont val="Calibri"/>
        <family val="2"/>
      </rPr>
      <t>; ≥ 1.0 h for Qmax-h</t>
    </r>
  </si>
  <si>
    <r>
      <t xml:space="preserve">Software UASB </t>
    </r>
    <r>
      <rPr>
        <b/>
        <i/>
        <sz val="18"/>
        <color theme="1"/>
        <rFont val="Calibri"/>
        <family val="2"/>
        <scheme val="minor"/>
      </rPr>
      <t xml:space="preserve">Étsus </t>
    </r>
    <r>
      <rPr>
        <b/>
        <sz val="18"/>
        <color theme="1"/>
        <rFont val="Calibri"/>
        <family val="2"/>
        <scheme val="minor"/>
      </rPr>
      <t>- v1.0</t>
    </r>
  </si>
  <si>
    <t>Hydraulicpre-sizing of UASB reactors</t>
  </si>
  <si>
    <r>
      <t>Width for the aperture between the GLS separator and the UASB reactor wall (W</t>
    </r>
    <r>
      <rPr>
        <b/>
        <vertAlign val="subscript"/>
        <sz val="11"/>
        <color theme="1"/>
        <rFont val="Calibri"/>
        <family val="2"/>
        <scheme val="minor"/>
      </rPr>
      <t>aperture-wall</t>
    </r>
    <r>
      <rPr>
        <b/>
        <sz val="11"/>
        <color theme="1"/>
        <rFont val="Calibri"/>
        <family val="2"/>
        <scheme val="minor"/>
      </rPr>
      <t>) - m</t>
    </r>
  </si>
  <si>
    <t>This value should be equal or greater than the required UASB reactor module width (see cell H72).</t>
  </si>
  <si>
    <r>
      <t>In case the resulting HRT is greater than the design HRT (5% or more), the following variables can be managed to obtain different UASB reactor configurations: H</t>
    </r>
    <r>
      <rPr>
        <vertAlign val="subscript"/>
        <sz val="11"/>
        <color theme="1"/>
        <rFont val="Calibri"/>
        <family val="2"/>
        <scheme val="minor"/>
      </rPr>
      <t>u</t>
    </r>
    <r>
      <rPr>
        <sz val="11"/>
        <color theme="1"/>
        <rFont val="Calibri"/>
        <family val="2"/>
        <scheme val="minor"/>
      </rPr>
      <t>, L</t>
    </r>
    <r>
      <rPr>
        <vertAlign val="subscript"/>
        <sz val="11"/>
        <color theme="1"/>
        <rFont val="Calibri"/>
        <family val="2"/>
        <scheme val="minor"/>
      </rPr>
      <t>UASB</t>
    </r>
    <r>
      <rPr>
        <sz val="11"/>
        <color theme="1"/>
        <rFont val="Calibri"/>
        <family val="2"/>
        <scheme val="minor"/>
      </rPr>
      <t xml:space="preserve"> (as long as it is a multiple of 3.0 m), W</t>
    </r>
    <r>
      <rPr>
        <vertAlign val="subscript"/>
        <sz val="11"/>
        <color theme="1"/>
        <rFont val="Calibri"/>
        <family val="2"/>
        <scheme val="minor"/>
      </rPr>
      <t xml:space="preserve">aperture-wall </t>
    </r>
    <r>
      <rPr>
        <sz val="11"/>
        <color theme="1"/>
        <rFont val="Calibri"/>
        <family val="2"/>
        <scheme val="minor"/>
      </rPr>
      <t>(usually between 0.30 and 0.40 m) and the design HRT itself.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</si>
</sst>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0"/>
  </numFmts>
  <fonts count="29">
    <font>
      <sz val="11"/>
      <color theme="1"/>
      <name val="Calibri"/>
      <family val="2"/>
      <scheme val="minor"/>
    </font>
    <font>
      <b/>
      <sz val="11"/>
      <color theme="1"/>
      <name val="Calibri"/>
      <family val="2"/>
      <scheme val="minor"/>
    </font>
    <font>
      <sz val="11"/>
      <color theme="1"/>
      <name val="Calibri"/>
      <family val="2"/>
    </font>
    <font>
      <u/>
      <sz val="11"/>
      <color theme="1"/>
      <name val="Calibri"/>
      <family val="2"/>
      <scheme val="minor"/>
    </font>
    <font>
      <b/>
      <u/>
      <sz val="11"/>
      <color theme="1"/>
      <name val="Calibri"/>
      <family val="2"/>
      <scheme val="minor"/>
    </font>
    <font>
      <sz val="11"/>
      <name val="Calibri"/>
      <family val="2"/>
      <scheme val="minor"/>
    </font>
    <font>
      <sz val="11"/>
      <color rgb="FFFF0000"/>
      <name val="Calibri"/>
      <family val="2"/>
      <scheme val="minor"/>
    </font>
    <font>
      <vertAlign val="superscript"/>
      <sz val="11"/>
      <color theme="1"/>
      <name val="Calibri"/>
      <family val="2"/>
      <scheme val="minor"/>
    </font>
    <font>
      <vertAlign val="subscript"/>
      <sz val="11"/>
      <color theme="1"/>
      <name val="Calibri"/>
      <family val="2"/>
      <scheme val="minor"/>
    </font>
    <font>
      <i/>
      <sz val="11"/>
      <color theme="1"/>
      <name val="Calibri"/>
      <family val="2"/>
      <scheme val="minor"/>
    </font>
    <font>
      <b/>
      <i/>
      <sz val="11"/>
      <color theme="1"/>
      <name val="Calibri"/>
      <family val="2"/>
      <scheme val="minor"/>
    </font>
    <font>
      <b/>
      <vertAlign val="subscript"/>
      <sz val="11"/>
      <color theme="1"/>
      <name val="Calibri"/>
      <family val="2"/>
      <scheme val="minor"/>
    </font>
    <font>
      <sz val="10"/>
      <color theme="1"/>
      <name val="Times New Roman"/>
      <family val="1"/>
    </font>
    <font>
      <i/>
      <sz val="10"/>
      <color theme="1"/>
      <name val="Times New Roman"/>
      <family val="1"/>
    </font>
    <font>
      <vertAlign val="subscript"/>
      <sz val="10"/>
      <color theme="1"/>
      <name val="Times New Roman"/>
      <family val="1"/>
    </font>
    <font>
      <i/>
      <vertAlign val="subscript"/>
      <sz val="11"/>
      <color theme="1"/>
      <name val="Calibri"/>
      <family val="2"/>
      <scheme val="minor"/>
    </font>
    <font>
      <i/>
      <sz val="11"/>
      <color theme="1"/>
      <name val="Calibri"/>
      <family val="2"/>
    </font>
    <font>
      <i/>
      <sz val="10.8"/>
      <color theme="1"/>
      <name val="Calibri"/>
      <family val="2"/>
    </font>
    <font>
      <i/>
      <vertAlign val="superscript"/>
      <sz val="11"/>
      <color theme="1"/>
      <name val="Calibri"/>
      <family val="2"/>
      <scheme val="minor"/>
    </font>
    <font>
      <i/>
      <vertAlign val="subscript"/>
      <sz val="10.8"/>
      <color theme="1"/>
      <name val="Calibri"/>
      <family val="2"/>
    </font>
    <font>
      <i/>
      <vertAlign val="subscript"/>
      <sz val="11"/>
      <color theme="1"/>
      <name val="Calibri"/>
      <family val="2"/>
    </font>
    <font>
      <sz val="11"/>
      <color theme="1"/>
      <name val="Calibri "/>
    </font>
    <font>
      <vertAlign val="subscript"/>
      <sz val="11"/>
      <color theme="1"/>
      <name val="Calibri "/>
    </font>
    <font>
      <sz val="11"/>
      <color theme="0"/>
      <name val="Calibri"/>
      <family val="2"/>
      <scheme val="minor"/>
    </font>
    <font>
      <sz val="8"/>
      <color rgb="FF000000"/>
      <name val="Tahoma"/>
      <family val="2"/>
    </font>
    <font>
      <b/>
      <i/>
      <u/>
      <sz val="11"/>
      <color theme="1"/>
      <name val="Calibri"/>
      <family val="2"/>
      <scheme val="minor"/>
    </font>
    <font>
      <sz val="10.8"/>
      <color theme="1"/>
      <name val="Calibri"/>
      <family val="2"/>
    </font>
    <font>
      <b/>
      <sz val="18"/>
      <color theme="1"/>
      <name val="Calibri"/>
      <family val="2"/>
      <scheme val="minor"/>
    </font>
    <font>
      <b/>
      <i/>
      <sz val="18"/>
      <color theme="1"/>
      <name val="Calibri"/>
      <family val="2"/>
      <scheme val="minor"/>
    </font>
  </fonts>
  <fills count="8">
    <fill>
      <patternFill patternType="none"/>
    </fill>
    <fill>
      <patternFill patternType="gray125"/>
    </fill>
    <fill>
      <patternFill patternType="solid">
        <fgColor theme="9" tint="0.59999389629810485"/>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rgb="FFFF00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1">
    <xf numFmtId="0" fontId="0" fillId="0" borderId="0"/>
  </cellStyleXfs>
  <cellXfs count="122">
    <xf numFmtId="0" fontId="0" fillId="0" borderId="0" xfId="0"/>
    <xf numFmtId="0" fontId="0" fillId="0" borderId="0" xfId="0" applyAlignment="1">
      <alignment horizontal="left"/>
    </xf>
    <xf numFmtId="0" fontId="0" fillId="2" borderId="1" xfId="0" applyFill="1" applyBorder="1" applyAlignment="1">
      <alignment horizontal="center"/>
    </xf>
    <xf numFmtId="0" fontId="3" fillId="0" borderId="0" xfId="0" applyFont="1"/>
    <xf numFmtId="0" fontId="4" fillId="0" borderId="0" xfId="0" applyFont="1"/>
    <xf numFmtId="0" fontId="1" fillId="0" borderId="0" xfId="0" applyFont="1" applyBorder="1" applyAlignment="1">
      <alignment horizontal="right"/>
    </xf>
    <xf numFmtId="0" fontId="4" fillId="0" borderId="0" xfId="0" applyFont="1" applyBorder="1" applyAlignment="1">
      <alignment horizontal="left"/>
    </xf>
    <xf numFmtId="0" fontId="0" fillId="0" borderId="0" xfId="0" applyFont="1" applyAlignment="1">
      <alignment horizontal="center" wrapText="1"/>
    </xf>
    <xf numFmtId="0" fontId="0" fillId="0" borderId="0" xfId="0" applyBorder="1" applyAlignment="1">
      <alignment horizontal="left" wrapText="1"/>
    </xf>
    <xf numFmtId="0" fontId="0" fillId="0" borderId="0" xfId="0" applyFill="1" applyBorder="1" applyAlignment="1">
      <alignment horizontal="left"/>
    </xf>
    <xf numFmtId="0" fontId="0" fillId="0" borderId="0" xfId="0" applyFill="1" applyBorder="1" applyAlignment="1"/>
    <xf numFmtId="0" fontId="0" fillId="0" borderId="0" xfId="0" applyBorder="1"/>
    <xf numFmtId="0" fontId="0" fillId="0" borderId="0" xfId="0" applyFill="1" applyBorder="1"/>
    <xf numFmtId="0" fontId="0" fillId="3" borderId="1" xfId="0" applyFill="1" applyBorder="1" applyAlignment="1">
      <alignment horizontal="center"/>
    </xf>
    <xf numFmtId="0" fontId="3" fillId="0" borderId="0" xfId="0" applyFont="1" applyBorder="1" applyAlignment="1">
      <alignment horizontal="left"/>
    </xf>
    <xf numFmtId="164" fontId="0" fillId="3" borderId="1" xfId="0" applyNumberFormat="1" applyFill="1" applyBorder="1" applyAlignment="1">
      <alignment horizontal="center"/>
    </xf>
    <xf numFmtId="2" fontId="0" fillId="2" borderId="1" xfId="0" applyNumberFormat="1" applyFill="1" applyBorder="1" applyAlignment="1">
      <alignment horizontal="center"/>
    </xf>
    <xf numFmtId="0" fontId="0" fillId="0" borderId="0" xfId="0" applyFont="1"/>
    <xf numFmtId="1" fontId="0" fillId="3" borderId="1" xfId="0" applyNumberFormat="1" applyFill="1" applyBorder="1" applyAlignment="1">
      <alignment horizontal="center"/>
    </xf>
    <xf numFmtId="2" fontId="0" fillId="3" borderId="1" xfId="0" applyNumberFormat="1" applyFill="1" applyBorder="1" applyAlignment="1">
      <alignment horizontal="center"/>
    </xf>
    <xf numFmtId="0" fontId="4" fillId="0" borderId="0" xfId="0" applyFont="1" applyAlignment="1"/>
    <xf numFmtId="0" fontId="6" fillId="0" borderId="0" xfId="0" applyFont="1"/>
    <xf numFmtId="0" fontId="7" fillId="0" borderId="0" xfId="0" applyFont="1"/>
    <xf numFmtId="0" fontId="0" fillId="0" borderId="0" xfId="0" applyFill="1"/>
    <xf numFmtId="0" fontId="1" fillId="0" borderId="0" xfId="0" applyFont="1" applyFill="1" applyBorder="1" applyAlignment="1">
      <alignment horizontal="left"/>
    </xf>
    <xf numFmtId="0" fontId="5" fillId="3" borderId="1" xfId="0" applyFont="1" applyFill="1" applyBorder="1" applyAlignment="1">
      <alignment horizontal="center"/>
    </xf>
    <xf numFmtId="164" fontId="5" fillId="3" borderId="1" xfId="0" applyNumberFormat="1" applyFont="1" applyFill="1" applyBorder="1" applyAlignment="1">
      <alignment horizontal="center"/>
    </xf>
    <xf numFmtId="0" fontId="5" fillId="0" borderId="0" xfId="0" applyFont="1"/>
    <xf numFmtId="0" fontId="2" fillId="0" borderId="0" xfId="0" applyFont="1" applyAlignment="1">
      <alignment horizontal="left"/>
    </xf>
    <xf numFmtId="0" fontId="0" fillId="0" borderId="0" xfId="0" applyBorder="1" applyAlignment="1">
      <alignment horizontal="left"/>
    </xf>
    <xf numFmtId="0" fontId="0" fillId="0" borderId="0" xfId="0" applyFont="1" applyAlignment="1"/>
    <xf numFmtId="0" fontId="0" fillId="0" borderId="0" xfId="0" applyFill="1" applyAlignment="1">
      <alignment horizontal="left"/>
    </xf>
    <xf numFmtId="0" fontId="1" fillId="5" borderId="2" xfId="0" applyFont="1" applyFill="1" applyBorder="1" applyAlignment="1">
      <alignment horizontal="left"/>
    </xf>
    <xf numFmtId="0" fontId="0" fillId="5" borderId="2" xfId="0" applyFill="1" applyBorder="1"/>
    <xf numFmtId="0" fontId="0" fillId="0" borderId="0" xfId="0" applyFont="1" applyFill="1" applyBorder="1" applyAlignment="1">
      <alignment horizontal="left"/>
    </xf>
    <xf numFmtId="164" fontId="0" fillId="2" borderId="1" xfId="0" applyNumberFormat="1" applyFill="1" applyBorder="1" applyAlignment="1">
      <alignment horizontal="center"/>
    </xf>
    <xf numFmtId="164" fontId="0" fillId="3" borderId="1" xfId="0" applyNumberFormat="1" applyFill="1" applyBorder="1" applyAlignment="1">
      <alignment horizontal="center" vertical="center"/>
    </xf>
    <xf numFmtId="0" fontId="0" fillId="0" borderId="0" xfId="0" applyFont="1" applyFill="1" applyAlignment="1"/>
    <xf numFmtId="1" fontId="0" fillId="0" borderId="0" xfId="0" applyNumberFormat="1"/>
    <xf numFmtId="0" fontId="9" fillId="0" borderId="0" xfId="0" applyFont="1" applyFill="1" applyBorder="1" applyAlignment="1">
      <alignment horizontal="left"/>
    </xf>
    <xf numFmtId="165" fontId="0" fillId="0" borderId="0" xfId="0" applyNumberFormat="1" applyFill="1"/>
    <xf numFmtId="0" fontId="0" fillId="0" borderId="0" xfId="0" applyBorder="1" applyAlignment="1">
      <alignment horizontal="right" wrapText="1"/>
    </xf>
    <xf numFmtId="0" fontId="0" fillId="0" borderId="0" xfId="0" applyAlignment="1">
      <alignment horizontal="right" wrapText="1"/>
    </xf>
    <xf numFmtId="0" fontId="0" fillId="0" borderId="0" xfId="0" applyBorder="1" applyAlignment="1">
      <alignment horizontal="left" vertical="center" wrapText="1"/>
    </xf>
    <xf numFmtId="0" fontId="4" fillId="0" borderId="0" xfId="0" applyFont="1" applyAlignment="1">
      <alignment horizontal="left"/>
    </xf>
    <xf numFmtId="0" fontId="0" fillId="0" borderId="0" xfId="0" applyFont="1" applyBorder="1" applyAlignment="1">
      <alignment horizontal="left"/>
    </xf>
    <xf numFmtId="1" fontId="0" fillId="2" borderId="1" xfId="0" applyNumberFormat="1" applyFill="1" applyBorder="1" applyAlignment="1">
      <alignment horizontal="center"/>
    </xf>
    <xf numFmtId="0" fontId="9" fillId="0" borderId="3" xfId="0" applyFont="1" applyFill="1" applyBorder="1" applyAlignment="1">
      <alignment horizontal="left"/>
    </xf>
    <xf numFmtId="0" fontId="1" fillId="0" borderId="3" xfId="0" applyFont="1" applyFill="1" applyBorder="1" applyAlignment="1">
      <alignment horizontal="left"/>
    </xf>
    <xf numFmtId="0" fontId="4" fillId="0" borderId="0" xfId="0" applyFont="1" applyBorder="1" applyAlignment="1"/>
    <xf numFmtId="0" fontId="9" fillId="0" borderId="0" xfId="0" applyFont="1"/>
    <xf numFmtId="0" fontId="9" fillId="0" borderId="0" xfId="0" applyFont="1" applyFill="1" applyBorder="1"/>
    <xf numFmtId="0" fontId="9" fillId="0" borderId="0" xfId="0" quotePrefix="1" applyFont="1" applyFill="1" applyBorder="1" applyAlignment="1">
      <alignment horizontal="left"/>
    </xf>
    <xf numFmtId="0" fontId="16" fillId="0" borderId="0" xfId="0" applyFont="1" applyBorder="1" applyAlignment="1">
      <alignment horizontal="right" vertical="center" wrapText="1"/>
    </xf>
    <xf numFmtId="0" fontId="16" fillId="0" borderId="0" xfId="0" applyFont="1" applyAlignment="1">
      <alignment horizontal="right" vertical="center" wrapText="1"/>
    </xf>
    <xf numFmtId="0" fontId="16" fillId="0" borderId="0" xfId="0" applyFont="1" applyBorder="1" applyAlignment="1">
      <alignment horizontal="right" wrapText="1"/>
    </xf>
    <xf numFmtId="1" fontId="9" fillId="0" borderId="0" xfId="0" applyNumberFormat="1" applyFont="1" applyAlignment="1">
      <alignment horizontal="left"/>
    </xf>
    <xf numFmtId="0" fontId="9" fillId="0" borderId="0" xfId="0" applyFont="1" applyBorder="1" applyAlignment="1">
      <alignment vertical="center" wrapText="1"/>
    </xf>
    <xf numFmtId="0" fontId="0" fillId="6" borderId="0" xfId="0" applyFill="1" applyBorder="1"/>
    <xf numFmtId="1" fontId="0" fillId="6" borderId="0" xfId="0" applyNumberFormat="1" applyFill="1" applyBorder="1" applyAlignment="1">
      <alignment horizontal="center"/>
    </xf>
    <xf numFmtId="0" fontId="3" fillId="0" borderId="8" xfId="0" applyFont="1" applyBorder="1" applyAlignment="1">
      <alignment horizontal="left"/>
    </xf>
    <xf numFmtId="0" fontId="23" fillId="0" borderId="0" xfId="0" applyFont="1"/>
    <xf numFmtId="0" fontId="23" fillId="0" borderId="0" xfId="0" applyFont="1" applyBorder="1"/>
    <xf numFmtId="0" fontId="23" fillId="0" borderId="7" xfId="0" applyFont="1" applyBorder="1"/>
    <xf numFmtId="0" fontId="0" fillId="2" borderId="6" xfId="0" applyFill="1" applyBorder="1" applyAlignment="1">
      <alignment horizontal="center"/>
    </xf>
    <xf numFmtId="0" fontId="0" fillId="2" borderId="5" xfId="0" applyFill="1" applyBorder="1" applyAlignment="1">
      <alignment horizontal="center"/>
    </xf>
    <xf numFmtId="0" fontId="0" fillId="0" borderId="0" xfId="0" applyFont="1" applyAlignment="1">
      <alignment horizontal="left"/>
    </xf>
    <xf numFmtId="0" fontId="9" fillId="0" borderId="0" xfId="0" applyFont="1" applyAlignment="1">
      <alignment horizontal="right" wrapText="1"/>
    </xf>
    <xf numFmtId="0" fontId="1" fillId="5" borderId="2" xfId="0" applyFont="1" applyFill="1" applyBorder="1" applyAlignment="1">
      <alignment horizontal="center" wrapText="1"/>
    </xf>
    <xf numFmtId="0" fontId="16" fillId="0" borderId="0" xfId="0" applyFont="1" applyAlignment="1">
      <alignment horizontal="right" wrapText="1"/>
    </xf>
    <xf numFmtId="0" fontId="0" fillId="0" borderId="0" xfId="0" applyFill="1" applyBorder="1" applyAlignment="1">
      <alignment horizontal="right" wrapText="1"/>
    </xf>
    <xf numFmtId="0" fontId="0" fillId="0" borderId="0" xfId="0" applyFill="1" applyAlignment="1">
      <alignment horizontal="right" wrapText="1"/>
    </xf>
    <xf numFmtId="0" fontId="0" fillId="7" borderId="1" xfId="0" applyFill="1" applyBorder="1" applyAlignment="1">
      <alignment horizontal="center"/>
    </xf>
    <xf numFmtId="0" fontId="1" fillId="0" borderId="0" xfId="0" applyFont="1" applyAlignment="1">
      <alignment horizontal="left"/>
    </xf>
    <xf numFmtId="0" fontId="1" fillId="0" borderId="0" xfId="0" applyFont="1" applyBorder="1" applyAlignment="1">
      <alignment horizontal="left" wrapText="1"/>
    </xf>
    <xf numFmtId="0" fontId="0" fillId="2" borderId="8" xfId="0" applyFill="1" applyBorder="1" applyAlignment="1">
      <alignment horizontal="center"/>
    </xf>
    <xf numFmtId="0" fontId="0" fillId="2" borderId="9" xfId="0" applyFill="1" applyBorder="1" applyAlignment="1">
      <alignment horizontal="center"/>
    </xf>
    <xf numFmtId="0" fontId="10" fillId="2" borderId="3" xfId="0" applyFont="1" applyFill="1" applyBorder="1" applyAlignment="1">
      <alignment horizontal="center"/>
    </xf>
    <xf numFmtId="0" fontId="1" fillId="0" borderId="0" xfId="0" applyFont="1" applyAlignment="1">
      <alignment vertical="center"/>
    </xf>
    <xf numFmtId="0" fontId="1" fillId="5" borderId="0" xfId="0" applyFont="1" applyFill="1" applyAlignment="1">
      <alignment horizontal="left"/>
    </xf>
    <xf numFmtId="0" fontId="1" fillId="0" borderId="0" xfId="0" applyFont="1" applyFill="1" applyBorder="1"/>
    <xf numFmtId="0" fontId="1" fillId="5" borderId="0" xfId="0" applyFont="1" applyFill="1" applyBorder="1" applyAlignment="1">
      <alignment vertical="center"/>
    </xf>
    <xf numFmtId="0" fontId="1" fillId="5" borderId="0" xfId="0" applyFont="1" applyFill="1" applyAlignment="1"/>
    <xf numFmtId="0" fontId="1" fillId="0" borderId="0" xfId="0" applyFont="1" applyAlignment="1"/>
    <xf numFmtId="0" fontId="1" fillId="0" borderId="0" xfId="0" applyFont="1"/>
    <xf numFmtId="0" fontId="1" fillId="0" borderId="0" xfId="0" applyFont="1" applyBorder="1" applyAlignment="1">
      <alignment horizontal="left"/>
    </xf>
    <xf numFmtId="0" fontId="1" fillId="0" borderId="0" xfId="0" applyFont="1" applyBorder="1" applyAlignment="1">
      <alignment horizontal="left" vertical="center" wrapText="1"/>
    </xf>
    <xf numFmtId="0" fontId="1" fillId="0" borderId="0" xfId="0" applyFont="1" applyBorder="1" applyAlignment="1"/>
    <xf numFmtId="0" fontId="0" fillId="2" borderId="10" xfId="0" applyFill="1" applyBorder="1" applyAlignment="1">
      <alignment horizontal="center"/>
    </xf>
    <xf numFmtId="0" fontId="0" fillId="2" borderId="11" xfId="0" applyFill="1" applyBorder="1" applyAlignment="1">
      <alignment horizontal="center"/>
    </xf>
    <xf numFmtId="0" fontId="1" fillId="5" borderId="0" xfId="0" applyFont="1" applyFill="1" applyBorder="1" applyAlignment="1">
      <alignment horizontal="left"/>
    </xf>
    <xf numFmtId="0" fontId="0" fillId="5" borderId="0" xfId="0" applyFill="1"/>
    <xf numFmtId="0" fontId="1" fillId="0" borderId="0" xfId="0" applyFont="1" applyAlignment="1">
      <alignment horizontal="left" vertical="center"/>
    </xf>
    <xf numFmtId="0" fontId="1" fillId="5" borderId="0" xfId="0" applyFont="1" applyFill="1" applyAlignment="1">
      <alignment vertical="center"/>
    </xf>
    <xf numFmtId="0" fontId="1" fillId="0" borderId="0" xfId="0" applyFont="1" applyFill="1" applyAlignment="1">
      <alignment vertical="center"/>
    </xf>
    <xf numFmtId="0" fontId="1" fillId="0" borderId="0" xfId="0" applyFont="1" applyBorder="1" applyAlignment="1">
      <alignment horizontal="right" vertical="center"/>
    </xf>
    <xf numFmtId="0" fontId="0" fillId="0" borderId="0" xfId="0" applyAlignment="1">
      <alignment vertical="center"/>
    </xf>
    <xf numFmtId="0" fontId="9" fillId="0" borderId="0" xfId="0" applyFont="1" applyBorder="1" applyAlignment="1">
      <alignment horizontal="right" wrapText="1"/>
    </xf>
    <xf numFmtId="0" fontId="9" fillId="0" borderId="0" xfId="0" applyFont="1" applyAlignment="1">
      <alignment horizontal="right" wrapText="1"/>
    </xf>
    <xf numFmtId="0" fontId="9" fillId="0" borderId="0" xfId="0" applyFont="1" applyFill="1" applyBorder="1" applyAlignment="1">
      <alignment horizontal="right" wrapText="1"/>
    </xf>
    <xf numFmtId="0" fontId="0" fillId="0" borderId="0" xfId="0" applyFill="1" applyBorder="1" applyAlignment="1">
      <alignment horizontal="right" vertical="center" wrapText="1"/>
    </xf>
    <xf numFmtId="0" fontId="0" fillId="5" borderId="2" xfId="0" applyFill="1" applyBorder="1" applyAlignment="1">
      <alignment horizontal="center"/>
    </xf>
    <xf numFmtId="0" fontId="1" fillId="5" borderId="2" xfId="0" applyFont="1" applyFill="1" applyBorder="1" applyAlignment="1">
      <alignment horizontal="center" wrapText="1"/>
    </xf>
    <xf numFmtId="0" fontId="9" fillId="0" borderId="0" xfId="0" applyFont="1" applyFill="1" applyAlignment="1">
      <alignment horizontal="left" vertical="center"/>
    </xf>
    <xf numFmtId="0" fontId="27" fillId="4" borderId="0" xfId="0" applyFont="1" applyFill="1" applyBorder="1" applyAlignment="1">
      <alignment horizontal="left" vertical="center"/>
    </xf>
    <xf numFmtId="0" fontId="27" fillId="4" borderId="4" xfId="0" applyFont="1" applyFill="1" applyBorder="1" applyAlignment="1">
      <alignment horizontal="left" vertical="center"/>
    </xf>
    <xf numFmtId="0" fontId="27" fillId="4" borderId="3" xfId="0" applyFont="1" applyFill="1" applyBorder="1" applyAlignment="1">
      <alignment horizontal="left" vertical="center"/>
    </xf>
    <xf numFmtId="0" fontId="10" fillId="5" borderId="0" xfId="0" applyFont="1" applyFill="1" applyBorder="1" applyAlignment="1">
      <alignment horizontal="left"/>
    </xf>
    <xf numFmtId="0" fontId="1" fillId="0" borderId="0" xfId="0" applyFont="1" applyAlignment="1">
      <alignment horizontal="left"/>
    </xf>
    <xf numFmtId="0" fontId="17" fillId="0" borderId="0" xfId="0" applyFont="1" applyBorder="1" applyAlignment="1">
      <alignment horizontal="right" wrapText="1"/>
    </xf>
    <xf numFmtId="0" fontId="16" fillId="0" borderId="0" xfId="0" applyFont="1" applyAlignment="1">
      <alignment horizontal="right" wrapText="1"/>
    </xf>
    <xf numFmtId="0" fontId="16" fillId="0" borderId="0" xfId="0" applyFont="1" applyFill="1" applyBorder="1" applyAlignment="1">
      <alignment horizontal="right" vertical="center" wrapText="1"/>
    </xf>
    <xf numFmtId="0" fontId="16" fillId="0" borderId="0" xfId="0" applyFont="1" applyFill="1" applyAlignment="1">
      <alignment horizontal="right" vertical="center" wrapText="1"/>
    </xf>
    <xf numFmtId="0" fontId="16" fillId="0" borderId="0" xfId="0" applyFont="1" applyFill="1" applyBorder="1" applyAlignment="1">
      <alignment horizontal="right" wrapText="1"/>
    </xf>
    <xf numFmtId="0" fontId="16" fillId="0" borderId="0" xfId="0" applyFont="1" applyFill="1" applyAlignment="1">
      <alignment horizontal="right" wrapText="1"/>
    </xf>
    <xf numFmtId="0" fontId="1" fillId="0" borderId="0" xfId="0" applyFont="1" applyBorder="1" applyAlignment="1">
      <alignment horizontal="left" wrapText="1"/>
    </xf>
    <xf numFmtId="0" fontId="1" fillId="2" borderId="2" xfId="0" applyFont="1" applyFill="1" applyBorder="1" applyAlignment="1">
      <alignment horizontal="center" vertical="center"/>
    </xf>
    <xf numFmtId="0" fontId="9" fillId="0" borderId="0" xfId="0" applyFont="1" applyAlignment="1">
      <alignment horizontal="right" vertical="center" wrapText="1"/>
    </xf>
    <xf numFmtId="0" fontId="0" fillId="0" borderId="7" xfId="0" applyFont="1" applyBorder="1" applyAlignment="1">
      <alignment horizontal="left"/>
    </xf>
    <xf numFmtId="0" fontId="9" fillId="0" borderId="0" xfId="0" applyFont="1" applyBorder="1" applyAlignment="1">
      <alignment horizontal="right" vertical="center" wrapText="1"/>
    </xf>
    <xf numFmtId="0" fontId="0" fillId="0" borderId="0" xfId="0" applyFill="1" applyBorder="1" applyAlignment="1">
      <alignment horizontal="right" wrapText="1"/>
    </xf>
    <xf numFmtId="0" fontId="0" fillId="0" borderId="0" xfId="0" applyFill="1" applyAlignment="1">
      <alignment horizontal="right" wrapText="1"/>
    </xf>
  </cellXfs>
  <cellStyles count="1">
    <cellStyle name="Normal" xfId="0" builtinId="0"/>
  </cellStyles>
  <dxfs count="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D$82" lockText="1" noThreeD="1"/>
</file>

<file path=xl/ctrlProps/ctrlProp10.xml><?xml version="1.0" encoding="utf-8"?>
<formControlPr xmlns="http://schemas.microsoft.com/office/spreadsheetml/2009/9/main" objectType="CheckBox" fmlaLink="F84" lockText="1" noThreeD="1"/>
</file>

<file path=xl/ctrlProps/ctrlProp11.xml><?xml version="1.0" encoding="utf-8"?>
<formControlPr xmlns="http://schemas.microsoft.com/office/spreadsheetml/2009/9/main" objectType="CheckBox" fmlaLink="F85" lockText="1" noThreeD="1"/>
</file>

<file path=xl/ctrlProps/ctrlProp12.xml><?xml version="1.0" encoding="utf-8"?>
<formControlPr xmlns="http://schemas.microsoft.com/office/spreadsheetml/2009/9/main" objectType="CheckBox" fmlaLink="F86" lockText="1" noThreeD="1"/>
</file>

<file path=xl/ctrlProps/ctrlProp13.xml><?xml version="1.0" encoding="utf-8"?>
<formControlPr xmlns="http://schemas.microsoft.com/office/spreadsheetml/2009/9/main" objectType="CheckBox" fmlaLink="F87" lockText="1" noThreeD="1"/>
</file>

<file path=xl/ctrlProps/ctrlProp2.xml><?xml version="1.0" encoding="utf-8"?>
<formControlPr xmlns="http://schemas.microsoft.com/office/spreadsheetml/2009/9/main" objectType="CheckBox" fmlaLink="E82" lockText="1" noThreeD="1"/>
</file>

<file path=xl/ctrlProps/ctrlProp3.xml><?xml version="1.0" encoding="utf-8"?>
<formControlPr xmlns="http://schemas.microsoft.com/office/spreadsheetml/2009/9/main" objectType="CheckBox" fmlaLink="E83" lockText="1" noThreeD="1"/>
</file>

<file path=xl/ctrlProps/ctrlProp4.xml><?xml version="1.0" encoding="utf-8"?>
<formControlPr xmlns="http://schemas.microsoft.com/office/spreadsheetml/2009/9/main" objectType="CheckBox" checked="Checked" fmlaLink="E84" lockText="1" noThreeD="1"/>
</file>

<file path=xl/ctrlProps/ctrlProp5.xml><?xml version="1.0" encoding="utf-8"?>
<formControlPr xmlns="http://schemas.microsoft.com/office/spreadsheetml/2009/9/main" objectType="CheckBox" fmlaLink="E85" lockText="1" noThreeD="1"/>
</file>

<file path=xl/ctrlProps/ctrlProp6.xml><?xml version="1.0" encoding="utf-8"?>
<formControlPr xmlns="http://schemas.microsoft.com/office/spreadsheetml/2009/9/main" objectType="CheckBox" fmlaLink="E86" lockText="1" noThreeD="1"/>
</file>

<file path=xl/ctrlProps/ctrlProp7.xml><?xml version="1.0" encoding="utf-8"?>
<formControlPr xmlns="http://schemas.microsoft.com/office/spreadsheetml/2009/9/main" objectType="CheckBox" fmlaLink="E87" lockText="1" noThreeD="1"/>
</file>

<file path=xl/ctrlProps/ctrlProp8.xml><?xml version="1.0" encoding="utf-8"?>
<formControlPr xmlns="http://schemas.microsoft.com/office/spreadsheetml/2009/9/main" objectType="CheckBox" fmlaLink="F82" lockText="1" noThreeD="1"/>
</file>

<file path=xl/ctrlProps/ctrlProp9.xml><?xml version="1.0" encoding="utf-8"?>
<formControlPr xmlns="http://schemas.microsoft.com/office/spreadsheetml/2009/9/main" objectType="CheckBox" fmlaLink="F83"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323850</xdr:colOff>
          <xdr:row>74</xdr:row>
          <xdr:rowOff>171450</xdr:rowOff>
        </xdr:from>
        <xdr:to>
          <xdr:col>3</xdr:col>
          <xdr:colOff>1211580</xdr:colOff>
          <xdr:row>76</xdr:row>
          <xdr:rowOff>11430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en-BE" sz="800" b="0" i="0" u="none" strike="noStrike" baseline="0">
                  <a:solidFill>
                    <a:srgbClr val="000000"/>
                  </a:solidFill>
                  <a:latin typeface="Tahoma"/>
                  <a:ea typeface="Tahoma"/>
                  <a:cs typeface="Tahoma"/>
                </a:rPr>
                <a:t>3.0 m </a:t>
              </a:r>
            </a:p>
          </xdr:txBody>
        </xdr:sp>
        <xdr:clientData/>
      </xdr:twoCellAnchor>
    </mc:Choice>
    <mc:Fallback/>
  </mc:AlternateContent>
  <xdr:oneCellAnchor>
    <xdr:from>
      <xdr:col>9</xdr:col>
      <xdr:colOff>515937</xdr:colOff>
      <xdr:row>151</xdr:row>
      <xdr:rowOff>0</xdr:rowOff>
    </xdr:from>
    <xdr:ext cx="184731" cy="264560"/>
    <xdr:sp macro="" textlink="">
      <xdr:nvSpPr>
        <xdr:cNvPr id="3" name="CaixaDeTexto 2">
          <a:extLst>
            <a:ext uri="{FF2B5EF4-FFF2-40B4-BE49-F238E27FC236}">
              <a16:creationId xmlns:a16="http://schemas.microsoft.com/office/drawing/2014/main" id="{00000000-0008-0000-0000-000003000000}"/>
            </a:ext>
          </a:extLst>
        </xdr:cNvPr>
        <xdr:cNvSpPr txBox="1"/>
      </xdr:nvSpPr>
      <xdr:spPr>
        <a:xfrm>
          <a:off x="12237290" y="299309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sz="1100"/>
        </a:p>
      </xdr:txBody>
    </xdr:sp>
    <xdr:clientData/>
  </xdr:oneCellAnchor>
  <xdr:twoCellAnchor editAs="oneCell">
    <xdr:from>
      <xdr:col>10</xdr:col>
      <xdr:colOff>1027962</xdr:colOff>
      <xdr:row>2</xdr:row>
      <xdr:rowOff>160271</xdr:rowOff>
    </xdr:from>
    <xdr:to>
      <xdr:col>12</xdr:col>
      <xdr:colOff>219635</xdr:colOff>
      <xdr:row>7</xdr:row>
      <xdr:rowOff>26894</xdr:rowOff>
    </xdr:to>
    <xdr:pic>
      <xdr:nvPicPr>
        <xdr:cNvPr id="6" name="Imagem 19">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658797" y="527824"/>
          <a:ext cx="1630073" cy="691376"/>
        </a:xfrm>
        <a:prstGeom prst="rect">
          <a:avLst/>
        </a:prstGeom>
      </xdr:spPr>
    </xdr:pic>
    <xdr:clientData/>
  </xdr:twoCellAnchor>
  <xdr:twoCellAnchor editAs="oneCell">
    <xdr:from>
      <xdr:col>12</xdr:col>
      <xdr:colOff>327212</xdr:colOff>
      <xdr:row>3</xdr:row>
      <xdr:rowOff>24026</xdr:rowOff>
    </xdr:from>
    <xdr:to>
      <xdr:col>13</xdr:col>
      <xdr:colOff>569259</xdr:colOff>
      <xdr:row>6</xdr:row>
      <xdr:rowOff>81121</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396447" y="575355"/>
          <a:ext cx="883024" cy="608425"/>
        </a:xfrm>
        <a:prstGeom prst="rect">
          <a:avLst/>
        </a:prstGeom>
      </xdr:spPr>
    </xdr:pic>
    <xdr:clientData/>
  </xdr:twoCellAnchor>
  <xdr:twoCellAnchor editAs="oneCell">
    <xdr:from>
      <xdr:col>0</xdr:col>
      <xdr:colOff>274101</xdr:colOff>
      <xdr:row>59</xdr:row>
      <xdr:rowOff>113571</xdr:rowOff>
    </xdr:from>
    <xdr:to>
      <xdr:col>1</xdr:col>
      <xdr:colOff>2644589</xdr:colOff>
      <xdr:row>67</xdr:row>
      <xdr:rowOff>110737</xdr:rowOff>
    </xdr:to>
    <xdr:pic>
      <xdr:nvPicPr>
        <xdr:cNvPr id="17" name="Picture 16">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74101" y="11151365"/>
          <a:ext cx="2964400" cy="1588401"/>
        </a:xfrm>
        <a:prstGeom prst="rect">
          <a:avLst/>
        </a:prstGeom>
      </xdr:spPr>
    </xdr:pic>
    <xdr:clientData/>
  </xdr:twoCellAnchor>
  <xdr:oneCellAnchor>
    <xdr:from>
      <xdr:col>8</xdr:col>
      <xdr:colOff>515937</xdr:colOff>
      <xdr:row>151</xdr:row>
      <xdr:rowOff>0</xdr:rowOff>
    </xdr:from>
    <xdr:ext cx="184731" cy="264560"/>
    <xdr:sp macro="" textlink="">
      <xdr:nvSpPr>
        <xdr:cNvPr id="19" name="CaixaDeTexto 2">
          <a:extLst>
            <a:ext uri="{FF2B5EF4-FFF2-40B4-BE49-F238E27FC236}">
              <a16:creationId xmlns:a16="http://schemas.microsoft.com/office/drawing/2014/main" id="{00000000-0008-0000-0000-000013000000}"/>
            </a:ext>
          </a:extLst>
        </xdr:cNvPr>
        <xdr:cNvSpPr txBox="1"/>
      </xdr:nvSpPr>
      <xdr:spPr>
        <a:xfrm>
          <a:off x="11932490" y="26893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sz="1100"/>
        </a:p>
      </xdr:txBody>
    </xdr:sp>
    <xdr:clientData/>
  </xdr:oneCellAnchor>
  <mc:AlternateContent xmlns:mc="http://schemas.openxmlformats.org/markup-compatibility/2006">
    <mc:Choice xmlns:a14="http://schemas.microsoft.com/office/drawing/2010/main" Requires="a14">
      <xdr:twoCellAnchor editAs="oneCell">
        <xdr:from>
          <xdr:col>4</xdr:col>
          <xdr:colOff>400050</xdr:colOff>
          <xdr:row>74</xdr:row>
          <xdr:rowOff>171450</xdr:rowOff>
        </xdr:from>
        <xdr:to>
          <xdr:col>4</xdr:col>
          <xdr:colOff>1276350</xdr:colOff>
          <xdr:row>76</xdr:row>
          <xdr:rowOff>11430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en-BE" sz="800" b="0" i="0" u="none" strike="noStrike" baseline="0">
                  <a:solidFill>
                    <a:srgbClr val="000000"/>
                  </a:solidFill>
                  <a:latin typeface="Tahoma"/>
                  <a:ea typeface="Tahoma"/>
                  <a:cs typeface="Tahoma"/>
                </a:rPr>
                <a:t>3.5 m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75</xdr:row>
          <xdr:rowOff>182880</xdr:rowOff>
        </xdr:from>
        <xdr:to>
          <xdr:col>4</xdr:col>
          <xdr:colOff>1276350</xdr:colOff>
          <xdr:row>77</xdr:row>
          <xdr:rowOff>11430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en-BE" sz="800" b="0" i="0" u="none" strike="noStrike" baseline="0">
                  <a:solidFill>
                    <a:srgbClr val="000000"/>
                  </a:solidFill>
                  <a:latin typeface="Tahoma"/>
                  <a:ea typeface="Tahoma"/>
                  <a:cs typeface="Tahoma"/>
                </a:rPr>
                <a:t>4.0 m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76</xdr:row>
          <xdr:rowOff>182880</xdr:rowOff>
        </xdr:from>
        <xdr:to>
          <xdr:col>4</xdr:col>
          <xdr:colOff>1276350</xdr:colOff>
          <xdr:row>78</xdr:row>
          <xdr:rowOff>11430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en-BE" sz="800" b="0" i="0" u="none" strike="noStrike" baseline="0">
                  <a:solidFill>
                    <a:srgbClr val="000000"/>
                  </a:solidFill>
                  <a:latin typeface="Tahoma"/>
                  <a:ea typeface="Tahoma"/>
                  <a:cs typeface="Tahoma"/>
                </a:rPr>
                <a:t>4.5 m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77</xdr:row>
          <xdr:rowOff>182880</xdr:rowOff>
        </xdr:from>
        <xdr:to>
          <xdr:col>4</xdr:col>
          <xdr:colOff>1276350</xdr:colOff>
          <xdr:row>79</xdr:row>
          <xdr:rowOff>11430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en-BE" sz="800" b="0" i="0" u="none" strike="noStrike" baseline="0">
                  <a:solidFill>
                    <a:srgbClr val="000000"/>
                  </a:solidFill>
                  <a:latin typeface="Tahoma"/>
                  <a:ea typeface="Tahoma"/>
                  <a:cs typeface="Tahoma"/>
                </a:rPr>
                <a:t>5.0 m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392430</xdr:colOff>
          <xdr:row>78</xdr:row>
          <xdr:rowOff>182880</xdr:rowOff>
        </xdr:from>
        <xdr:to>
          <xdr:col>4</xdr:col>
          <xdr:colOff>1268730</xdr:colOff>
          <xdr:row>80</xdr:row>
          <xdr:rowOff>11430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en-BE" sz="800" b="0" i="0" u="none" strike="noStrike" baseline="0">
                  <a:solidFill>
                    <a:srgbClr val="000000"/>
                  </a:solidFill>
                  <a:latin typeface="Tahoma"/>
                  <a:ea typeface="Tahoma"/>
                  <a:cs typeface="Tahoma"/>
                </a:rPr>
                <a:t>5.5 m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392430</xdr:colOff>
          <xdr:row>79</xdr:row>
          <xdr:rowOff>182880</xdr:rowOff>
        </xdr:from>
        <xdr:to>
          <xdr:col>4</xdr:col>
          <xdr:colOff>1268730</xdr:colOff>
          <xdr:row>81</xdr:row>
          <xdr:rowOff>11430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en-BE" sz="800" b="0" i="0" u="none" strike="noStrike" baseline="0">
                  <a:solidFill>
                    <a:srgbClr val="000000"/>
                  </a:solidFill>
                  <a:latin typeface="Tahoma"/>
                  <a:ea typeface="Tahoma"/>
                  <a:cs typeface="Tahoma"/>
                </a:rPr>
                <a:t>6.0 m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392430</xdr:colOff>
          <xdr:row>74</xdr:row>
          <xdr:rowOff>171450</xdr:rowOff>
        </xdr:from>
        <xdr:to>
          <xdr:col>6</xdr:col>
          <xdr:colOff>38100</xdr:colOff>
          <xdr:row>76</xdr:row>
          <xdr:rowOff>11430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en-BE" sz="800" b="0" i="0" u="none" strike="noStrike" baseline="0">
                  <a:solidFill>
                    <a:srgbClr val="000000"/>
                  </a:solidFill>
                  <a:latin typeface="Tahoma"/>
                  <a:ea typeface="Tahoma"/>
                  <a:cs typeface="Tahoma"/>
                </a:rPr>
                <a:t>6.5 m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75</xdr:row>
          <xdr:rowOff>182880</xdr:rowOff>
        </xdr:from>
        <xdr:to>
          <xdr:col>6</xdr:col>
          <xdr:colOff>38100</xdr:colOff>
          <xdr:row>77</xdr:row>
          <xdr:rowOff>11430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en-BE" sz="800" b="0" i="0" u="none" strike="noStrike" baseline="0">
                  <a:solidFill>
                    <a:srgbClr val="000000"/>
                  </a:solidFill>
                  <a:latin typeface="Tahoma"/>
                  <a:ea typeface="Tahoma"/>
                  <a:cs typeface="Tahoma"/>
                </a:rPr>
                <a:t>7.0 m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76</xdr:row>
          <xdr:rowOff>171450</xdr:rowOff>
        </xdr:from>
        <xdr:to>
          <xdr:col>6</xdr:col>
          <xdr:colOff>38100</xdr:colOff>
          <xdr:row>78</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en-BE" sz="800" b="0" i="0" u="none" strike="noStrike" baseline="0">
                  <a:solidFill>
                    <a:srgbClr val="000000"/>
                  </a:solidFill>
                  <a:latin typeface="Tahoma"/>
                  <a:ea typeface="Tahoma"/>
                  <a:cs typeface="Tahoma"/>
                </a:rPr>
                <a:t>7.5 m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77</xdr:row>
          <xdr:rowOff>182880</xdr:rowOff>
        </xdr:from>
        <xdr:to>
          <xdr:col>6</xdr:col>
          <xdr:colOff>38100</xdr:colOff>
          <xdr:row>79</xdr:row>
          <xdr:rowOff>11430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en-BE" sz="800" b="0" i="0" u="none" strike="noStrike" baseline="0">
                  <a:solidFill>
                    <a:srgbClr val="000000"/>
                  </a:solidFill>
                  <a:latin typeface="Tahoma"/>
                  <a:ea typeface="Tahoma"/>
                  <a:cs typeface="Tahoma"/>
                </a:rPr>
                <a:t>8.0 m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78</xdr:row>
          <xdr:rowOff>182880</xdr:rowOff>
        </xdr:from>
        <xdr:to>
          <xdr:col>6</xdr:col>
          <xdr:colOff>38100</xdr:colOff>
          <xdr:row>80</xdr:row>
          <xdr:rowOff>11430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en-BE" sz="800" b="0" i="0" u="none" strike="noStrike" baseline="0">
                  <a:solidFill>
                    <a:srgbClr val="000000"/>
                  </a:solidFill>
                  <a:latin typeface="Tahoma"/>
                  <a:ea typeface="Tahoma"/>
                  <a:cs typeface="Tahoma"/>
                </a:rPr>
                <a:t>8.5 m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79</xdr:row>
          <xdr:rowOff>182880</xdr:rowOff>
        </xdr:from>
        <xdr:to>
          <xdr:col>6</xdr:col>
          <xdr:colOff>38100</xdr:colOff>
          <xdr:row>81</xdr:row>
          <xdr:rowOff>11430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en-BE" sz="800" b="0" i="0" u="none" strike="noStrike" baseline="0">
                  <a:solidFill>
                    <a:srgbClr val="000000"/>
                  </a:solidFill>
                  <a:latin typeface="Tahoma"/>
                  <a:ea typeface="Tahoma"/>
                  <a:cs typeface="Tahoma"/>
                </a:rPr>
                <a:t>9.0 m </a:t>
              </a:r>
            </a:p>
          </xdr:txBody>
        </xdr:sp>
        <xdr:clientData/>
      </xdr:twoCellAnchor>
    </mc:Choice>
    <mc:Fallback/>
  </mc:AlternateContent>
  <xdr:twoCellAnchor>
    <xdr:from>
      <xdr:col>1</xdr:col>
      <xdr:colOff>2932186</xdr:colOff>
      <xdr:row>58</xdr:row>
      <xdr:rowOff>56030</xdr:rowOff>
    </xdr:from>
    <xdr:to>
      <xdr:col>6</xdr:col>
      <xdr:colOff>123265</xdr:colOff>
      <xdr:row>70</xdr:row>
      <xdr:rowOff>159125</xdr:rowOff>
    </xdr:to>
    <xdr:grpSp>
      <xdr:nvGrpSpPr>
        <xdr:cNvPr id="10" name="Group 9">
          <a:extLst>
            <a:ext uri="{FF2B5EF4-FFF2-40B4-BE49-F238E27FC236}">
              <a16:creationId xmlns:a16="http://schemas.microsoft.com/office/drawing/2014/main" id="{00000000-0008-0000-0000-00000A000000}"/>
            </a:ext>
          </a:extLst>
        </xdr:cNvPr>
        <xdr:cNvGrpSpPr/>
      </xdr:nvGrpSpPr>
      <xdr:grpSpPr>
        <a:xfrm>
          <a:off x="3573162" y="10903324"/>
          <a:ext cx="6106479" cy="2389095"/>
          <a:chOff x="3526098" y="10903324"/>
          <a:chExt cx="5169667" cy="2456330"/>
        </a:xfrm>
      </xdr:grpSpPr>
      <xdr:grpSp>
        <xdr:nvGrpSpPr>
          <xdr:cNvPr id="5" name="Group 4">
            <a:extLst>
              <a:ext uri="{FF2B5EF4-FFF2-40B4-BE49-F238E27FC236}">
                <a16:creationId xmlns:a16="http://schemas.microsoft.com/office/drawing/2014/main" id="{00000000-0008-0000-0000-000005000000}"/>
              </a:ext>
            </a:extLst>
          </xdr:cNvPr>
          <xdr:cNvGrpSpPr/>
        </xdr:nvGrpSpPr>
        <xdr:grpSpPr>
          <a:xfrm>
            <a:off x="3526098" y="10903324"/>
            <a:ext cx="5169667" cy="2456330"/>
            <a:chOff x="3526098" y="10903324"/>
            <a:chExt cx="5169667" cy="2456330"/>
          </a:xfrm>
        </xdr:grpSpPr>
        <xdr:grpSp>
          <xdr:nvGrpSpPr>
            <xdr:cNvPr id="4" name="Group 3">
              <a:extLst>
                <a:ext uri="{FF2B5EF4-FFF2-40B4-BE49-F238E27FC236}">
                  <a16:creationId xmlns:a16="http://schemas.microsoft.com/office/drawing/2014/main" id="{00000000-0008-0000-0000-000004000000}"/>
                </a:ext>
              </a:extLst>
            </xdr:cNvPr>
            <xdr:cNvGrpSpPr/>
          </xdr:nvGrpSpPr>
          <xdr:grpSpPr>
            <a:xfrm>
              <a:off x="3526098" y="10903324"/>
              <a:ext cx="5169667" cy="2456330"/>
              <a:chOff x="3526098" y="10903324"/>
              <a:chExt cx="5169667" cy="2456330"/>
            </a:xfrm>
          </xdr:grpSpPr>
          <xdr:grpSp>
            <xdr:nvGrpSpPr>
              <xdr:cNvPr id="2" name="Group 1">
                <a:extLst>
                  <a:ext uri="{FF2B5EF4-FFF2-40B4-BE49-F238E27FC236}">
                    <a16:creationId xmlns:a16="http://schemas.microsoft.com/office/drawing/2014/main" id="{00000000-0008-0000-0000-000002000000}"/>
                  </a:ext>
                </a:extLst>
              </xdr:cNvPr>
              <xdr:cNvGrpSpPr/>
            </xdr:nvGrpSpPr>
            <xdr:grpSpPr>
              <a:xfrm>
                <a:off x="3526098" y="10992972"/>
                <a:ext cx="5169667" cy="2366682"/>
                <a:chOff x="3526098" y="10992972"/>
                <a:chExt cx="5180873" cy="2366682"/>
              </a:xfrm>
            </xdr:grpSpPr>
            <xdr:pic>
              <xdr:nvPicPr>
                <xdr:cNvPr id="7" name="Picture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bwMode="auto">
                <a:xfrm>
                  <a:off x="3526098" y="10992972"/>
                  <a:ext cx="5180873" cy="2028264"/>
                </a:xfrm>
                <a:prstGeom prst="rect">
                  <a:avLst/>
                </a:prstGeom>
                <a:noFill/>
                <a:ln>
                  <a:noFill/>
                </a:ln>
                <a:extLst>
                  <a:ext uri="{53640926-AAD7-44D8-BBD7-CCE9431645EC}">
                    <a14:shadowObscured xmlns:a14="http://schemas.microsoft.com/office/drawing/2010/main"/>
                  </a:ext>
                </a:extLst>
              </xdr:spPr>
            </xdr:pic>
            <xdr:sp macro="" textlink="">
              <xdr:nvSpPr>
                <xdr:cNvPr id="9" name="CaixaDeTexto 3">
                  <a:extLst>
                    <a:ext uri="{FF2B5EF4-FFF2-40B4-BE49-F238E27FC236}">
                      <a16:creationId xmlns:a16="http://schemas.microsoft.com/office/drawing/2014/main" id="{00000000-0008-0000-0000-000009000000}"/>
                    </a:ext>
                  </a:extLst>
                </xdr:cNvPr>
                <xdr:cNvSpPr txBox="1"/>
              </xdr:nvSpPr>
              <xdr:spPr>
                <a:xfrm>
                  <a:off x="4386537" y="13006158"/>
                  <a:ext cx="2731449" cy="353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pt-BR" sz="900" i="0"/>
                    <a:t>GLS separator </a:t>
                  </a:r>
                  <a:r>
                    <a:rPr lang="pt-BR" sz="900" b="1" i="1"/>
                    <a:t>Étsus 100 </a:t>
                  </a:r>
                  <a:r>
                    <a:rPr lang="pt-BR" sz="900" i="0"/>
                    <a:t>- Figure 4.13b (Chapter</a:t>
                  </a:r>
                  <a:r>
                    <a:rPr lang="pt-BR" sz="900" i="0" baseline="0"/>
                    <a:t> 4</a:t>
                  </a:r>
                  <a:r>
                    <a:rPr lang="pt-BR" sz="900" i="0"/>
                    <a:t>)</a:t>
                  </a:r>
                </a:p>
              </xdr:txBody>
            </xdr:sp>
          </xdr:grpSp>
          <xdr:sp macro="" textlink="">
            <xdr:nvSpPr>
              <xdr:cNvPr id="27" name="CaixaDeTexto 3">
                <a:extLst>
                  <a:ext uri="{FF2B5EF4-FFF2-40B4-BE49-F238E27FC236}">
                    <a16:creationId xmlns:a16="http://schemas.microsoft.com/office/drawing/2014/main" id="{00000000-0008-0000-0000-00001B000000}"/>
                  </a:ext>
                </a:extLst>
              </xdr:cNvPr>
              <xdr:cNvSpPr txBox="1"/>
            </xdr:nvSpPr>
            <xdr:spPr>
              <a:xfrm>
                <a:off x="5423646" y="10903324"/>
                <a:ext cx="683559" cy="26384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pt-BR" sz="1200" i="0"/>
                  <a:t>L</a:t>
                </a:r>
                <a:r>
                  <a:rPr lang="pt-BR" sz="1200" i="0" baseline="-25000"/>
                  <a:t>GLS-upper</a:t>
                </a:r>
              </a:p>
            </xdr:txBody>
          </xdr:sp>
        </xdr:grpSp>
        <xdr:sp macro="" textlink="">
          <xdr:nvSpPr>
            <xdr:cNvPr id="28" name="CaixaDeTexto 3">
              <a:extLst>
                <a:ext uri="{FF2B5EF4-FFF2-40B4-BE49-F238E27FC236}">
                  <a16:creationId xmlns:a16="http://schemas.microsoft.com/office/drawing/2014/main" id="{00000000-0008-0000-0000-00001C000000}"/>
                </a:ext>
              </a:extLst>
            </xdr:cNvPr>
            <xdr:cNvSpPr txBox="1"/>
          </xdr:nvSpPr>
          <xdr:spPr>
            <a:xfrm>
              <a:off x="5289177" y="12808323"/>
              <a:ext cx="683559" cy="26894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pt-BR" sz="1200" i="0"/>
                <a:t>L</a:t>
              </a:r>
              <a:r>
                <a:rPr lang="pt-BR" sz="1200" i="0" baseline="-25000"/>
                <a:t>GLS-lower</a:t>
              </a:r>
            </a:p>
          </xdr:txBody>
        </xdr:sp>
      </xdr:grpSp>
      <xdr:sp macro="" textlink="">
        <xdr:nvSpPr>
          <xdr:cNvPr id="31" name="CaixaDeTexto 3">
            <a:extLst>
              <a:ext uri="{FF2B5EF4-FFF2-40B4-BE49-F238E27FC236}">
                <a16:creationId xmlns:a16="http://schemas.microsoft.com/office/drawing/2014/main" id="{00000000-0008-0000-0000-00001F000000}"/>
              </a:ext>
            </a:extLst>
          </xdr:cNvPr>
          <xdr:cNvSpPr txBox="1"/>
        </xdr:nvSpPr>
        <xdr:spPr>
          <a:xfrm>
            <a:off x="4728880" y="12393707"/>
            <a:ext cx="2241177" cy="22411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pt-BR" sz="1050" i="0"/>
              <a:t>Drain points and withdrawal pipe</a:t>
            </a:r>
            <a:endParaRPr lang="pt-BR" sz="1050" i="0" baseline="-25000"/>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1">
    <pageSetUpPr fitToPage="1"/>
  </sheetPr>
  <dimension ref="A1:N161"/>
  <sheetViews>
    <sheetView showGridLines="0" tabSelected="1" topLeftCell="A43" zoomScale="85" zoomScaleNormal="85" zoomScaleSheetLayoutView="85" workbookViewId="0">
      <selection activeCell="E91" sqref="E91"/>
    </sheetView>
  </sheetViews>
  <sheetFormatPr defaultColWidth="8.83984375" defaultRowHeight="14.4"/>
  <cols>
    <col min="2" max="2" width="51.20703125" customWidth="1"/>
    <col min="3" max="3" width="15.41796875" customWidth="1"/>
    <col min="4" max="4" width="18.68359375" customWidth="1"/>
    <col min="5" max="5" width="19.26171875" customWidth="1"/>
    <col min="6" max="6" width="18.578125" customWidth="1"/>
    <col min="7" max="7" width="23.41796875" customWidth="1"/>
    <col min="8" max="8" width="13.578125" customWidth="1"/>
    <col min="9" max="9" width="10.15625" customWidth="1"/>
    <col min="10" max="10" width="9.15625" customWidth="1"/>
    <col min="11" max="11" width="24.83984375" style="42" customWidth="1"/>
  </cols>
  <sheetData>
    <row r="1" spans="1:14" s="105" customFormat="1">
      <c r="A1" s="104" t="s">
        <v>144</v>
      </c>
      <c r="B1" s="104"/>
      <c r="C1" s="104"/>
      <c r="D1" s="104"/>
      <c r="E1" s="104"/>
      <c r="F1" s="104"/>
      <c r="G1" s="104"/>
      <c r="H1" s="104"/>
      <c r="I1" s="104"/>
      <c r="J1" s="104"/>
      <c r="K1" s="104"/>
      <c r="L1" s="104"/>
      <c r="M1" s="104"/>
      <c r="N1" s="104"/>
    </row>
    <row r="2" spans="1:14" s="105" customFormat="1">
      <c r="A2" s="106"/>
      <c r="B2" s="106"/>
      <c r="C2" s="106"/>
      <c r="D2" s="106"/>
      <c r="E2" s="106"/>
      <c r="F2" s="106"/>
      <c r="G2" s="106"/>
      <c r="H2" s="106"/>
      <c r="I2" s="106"/>
      <c r="J2" s="106"/>
      <c r="K2" s="106"/>
      <c r="L2" s="106"/>
      <c r="M2" s="106"/>
      <c r="N2" s="106"/>
    </row>
    <row r="3" spans="1:14" s="91" customFormat="1">
      <c r="A3" s="107" t="s">
        <v>145</v>
      </c>
      <c r="B3" s="107"/>
      <c r="C3" s="90"/>
      <c r="D3" s="90"/>
      <c r="E3" s="90"/>
      <c r="F3" s="90"/>
      <c r="G3" s="90"/>
      <c r="H3" s="90"/>
      <c r="I3" s="90"/>
    </row>
    <row r="4" spans="1:14" s="23" customFormat="1">
      <c r="A4" s="24"/>
      <c r="B4" s="24"/>
      <c r="C4" s="24"/>
      <c r="D4" s="24"/>
      <c r="E4" s="24"/>
      <c r="F4" s="24"/>
      <c r="G4" s="24"/>
      <c r="H4" s="24"/>
      <c r="I4" s="24"/>
    </row>
    <row r="5" spans="1:14" s="23" customFormat="1">
      <c r="A5" s="24" t="s">
        <v>18</v>
      </c>
      <c r="B5" s="24"/>
      <c r="C5" s="24"/>
      <c r="D5" s="24"/>
      <c r="E5" s="24"/>
      <c r="F5" s="24"/>
      <c r="G5" s="24"/>
      <c r="H5" s="24"/>
      <c r="I5" s="24"/>
    </row>
    <row r="6" spans="1:14" s="23" customFormat="1">
      <c r="A6" s="47" t="s">
        <v>31</v>
      </c>
      <c r="B6" s="48"/>
      <c r="C6" s="48"/>
      <c r="D6" s="48"/>
      <c r="E6" s="24"/>
      <c r="F6" s="24"/>
      <c r="G6" s="24"/>
      <c r="H6" s="24"/>
      <c r="I6" s="24"/>
    </row>
    <row r="7" spans="1:14" s="23" customFormat="1" ht="7.35" customHeight="1">
      <c r="A7" s="39"/>
      <c r="B7" s="24"/>
      <c r="C7" s="24"/>
      <c r="D7" s="24"/>
      <c r="E7" s="24"/>
      <c r="F7" s="24"/>
      <c r="G7" s="24"/>
      <c r="H7" s="24"/>
      <c r="I7" s="24"/>
    </row>
    <row r="8" spans="1:14" s="23" customFormat="1">
      <c r="A8" s="39" t="s">
        <v>32</v>
      </c>
      <c r="B8" s="24"/>
      <c r="C8" s="24"/>
      <c r="D8" s="24"/>
      <c r="E8" s="24"/>
      <c r="F8" s="24"/>
      <c r="G8" s="24"/>
      <c r="H8" s="24"/>
      <c r="I8" s="24"/>
    </row>
    <row r="9" spans="1:14" s="23" customFormat="1">
      <c r="A9" s="39" t="s">
        <v>36</v>
      </c>
      <c r="B9" s="24"/>
      <c r="C9" s="24"/>
      <c r="D9" s="24"/>
      <c r="E9" s="24"/>
      <c r="F9" s="24"/>
      <c r="G9" s="24"/>
      <c r="H9" s="24"/>
      <c r="I9" s="24"/>
    </row>
    <row r="10" spans="1:14" s="23" customFormat="1">
      <c r="A10" s="39" t="s">
        <v>35</v>
      </c>
      <c r="B10" s="24"/>
      <c r="C10" s="24"/>
      <c r="D10" s="24"/>
      <c r="E10" s="24"/>
      <c r="F10" s="24"/>
      <c r="G10" s="24"/>
      <c r="H10" s="24"/>
      <c r="I10" s="24"/>
    </row>
    <row r="11" spans="1:14" s="23" customFormat="1">
      <c r="A11" s="39" t="s">
        <v>34</v>
      </c>
      <c r="B11" s="24"/>
      <c r="C11" s="24"/>
      <c r="D11" s="24"/>
      <c r="E11" s="24"/>
      <c r="F11" s="24"/>
      <c r="G11" s="24"/>
      <c r="H11" s="24"/>
      <c r="I11" s="24"/>
    </row>
    <row r="12" spans="1:14" s="23" customFormat="1">
      <c r="A12" s="39" t="s">
        <v>33</v>
      </c>
      <c r="B12" s="24"/>
      <c r="C12" s="24"/>
      <c r="D12" s="24"/>
      <c r="E12" s="24"/>
      <c r="F12" s="24"/>
      <c r="G12" s="24"/>
      <c r="H12" s="24"/>
      <c r="I12" s="24"/>
    </row>
    <row r="13" spans="1:14" s="23" customFormat="1">
      <c r="A13" s="39" t="s">
        <v>37</v>
      </c>
      <c r="B13" s="24"/>
      <c r="C13" s="24"/>
      <c r="D13" s="24"/>
      <c r="E13" s="24"/>
      <c r="F13" s="24"/>
      <c r="G13" s="24"/>
      <c r="H13" s="24"/>
      <c r="I13" s="24"/>
    </row>
    <row r="14" spans="1:14" s="23" customFormat="1" ht="8.85" customHeight="1">
      <c r="A14" s="39"/>
      <c r="B14" s="24"/>
      <c r="C14" s="24"/>
      <c r="D14" s="24"/>
      <c r="E14" s="24"/>
      <c r="F14" s="24"/>
      <c r="G14" s="24"/>
      <c r="H14" s="24"/>
      <c r="I14" s="24"/>
    </row>
    <row r="15" spans="1:14" s="23" customFormat="1">
      <c r="A15" s="34" t="s">
        <v>7</v>
      </c>
      <c r="B15" s="24"/>
      <c r="C15" s="24"/>
      <c r="D15" s="24"/>
      <c r="E15" s="24"/>
      <c r="F15" s="24"/>
      <c r="G15" s="24"/>
      <c r="H15" s="24"/>
      <c r="I15" s="24"/>
    </row>
    <row r="16" spans="1:14" s="23" customFormat="1">
      <c r="A16" s="2"/>
      <c r="B16" s="34" t="s">
        <v>23</v>
      </c>
      <c r="C16" s="24"/>
      <c r="D16" s="24"/>
      <c r="E16" s="24"/>
      <c r="F16" s="24"/>
      <c r="G16" s="24"/>
      <c r="H16" s="24"/>
      <c r="I16" s="24"/>
    </row>
    <row r="17" spans="1:14" s="23" customFormat="1">
      <c r="A17" s="13"/>
      <c r="B17" s="34" t="s">
        <v>8</v>
      </c>
      <c r="C17" s="24"/>
      <c r="D17" s="24"/>
      <c r="E17" s="24"/>
      <c r="F17" s="24"/>
      <c r="G17" s="24"/>
      <c r="H17" s="24"/>
      <c r="I17" s="24"/>
    </row>
    <row r="18" spans="1:14" s="23" customFormat="1">
      <c r="A18" s="72"/>
      <c r="B18" s="34" t="s">
        <v>129</v>
      </c>
      <c r="C18" s="24"/>
      <c r="D18" s="24"/>
      <c r="E18" s="24"/>
      <c r="F18" s="24"/>
      <c r="G18" s="24"/>
      <c r="H18" s="24"/>
      <c r="I18" s="24"/>
    </row>
    <row r="19" spans="1:14" s="23" customFormat="1">
      <c r="A19" s="24"/>
      <c r="B19" s="24"/>
      <c r="C19" s="24"/>
      <c r="D19" s="24"/>
      <c r="E19" s="24"/>
      <c r="F19" s="24"/>
      <c r="G19" s="24"/>
      <c r="H19" s="24"/>
      <c r="I19" s="24"/>
    </row>
    <row r="20" spans="1:14" s="23" customFormat="1">
      <c r="A20" s="32" t="s">
        <v>20</v>
      </c>
      <c r="B20" s="32"/>
      <c r="C20" s="32"/>
      <c r="D20" s="32"/>
      <c r="E20" s="102" t="s">
        <v>24</v>
      </c>
      <c r="F20" s="102"/>
      <c r="G20" s="102"/>
      <c r="H20" s="102"/>
      <c r="I20" s="32"/>
      <c r="J20" s="33"/>
      <c r="K20" s="101"/>
      <c r="L20" s="101"/>
      <c r="M20" s="101"/>
      <c r="N20" s="101"/>
    </row>
    <row r="21" spans="1:14">
      <c r="B21" s="24"/>
      <c r="C21" s="24"/>
      <c r="D21" s="24"/>
      <c r="E21" s="24"/>
      <c r="F21" s="24"/>
      <c r="G21" s="24"/>
      <c r="H21" s="24"/>
      <c r="I21" s="24"/>
    </row>
    <row r="22" spans="1:14" s="23" customFormat="1">
      <c r="A22" s="9" t="s">
        <v>38</v>
      </c>
      <c r="B22" s="9"/>
      <c r="C22" s="2">
        <v>20000</v>
      </c>
      <c r="G22" s="1"/>
      <c r="H22" s="1"/>
      <c r="I22" s="24"/>
      <c r="K22" s="71"/>
    </row>
    <row r="23" spans="1:14" s="23" customFormat="1" ht="16.8">
      <c r="A23" s="9" t="s">
        <v>21</v>
      </c>
      <c r="B23" s="9"/>
      <c r="C23" s="16">
        <v>0.1</v>
      </c>
      <c r="G23" s="1"/>
      <c r="H23" s="1"/>
      <c r="I23" s="24"/>
      <c r="K23" s="71"/>
    </row>
    <row r="24" spans="1:14" s="23" customFormat="1" ht="16.8">
      <c r="A24" s="9" t="s">
        <v>22</v>
      </c>
      <c r="B24" s="9"/>
      <c r="C24" s="2">
        <v>2</v>
      </c>
      <c r="G24" s="1"/>
      <c r="H24" s="1"/>
      <c r="I24" s="24"/>
      <c r="K24" s="71"/>
    </row>
    <row r="25" spans="1:14" s="23" customFormat="1">
      <c r="A25" s="9" t="s">
        <v>2</v>
      </c>
      <c r="B25" s="9"/>
      <c r="C25" s="2">
        <v>150</v>
      </c>
      <c r="E25" s="40"/>
      <c r="G25" s="1"/>
      <c r="H25" s="1"/>
      <c r="I25" s="24"/>
      <c r="K25" s="71"/>
    </row>
    <row r="26" spans="1:14" s="23" customFormat="1" ht="16.8">
      <c r="A26" s="9" t="s">
        <v>28</v>
      </c>
      <c r="B26" s="9"/>
      <c r="C26" s="13">
        <f>((C22*C24/1000*C23)*3.6)+(C22*C25)/1000/24</f>
        <v>139.4</v>
      </c>
      <c r="G26" s="1"/>
      <c r="H26" s="1"/>
      <c r="I26" s="24"/>
      <c r="K26" s="71"/>
    </row>
    <row r="27" spans="1:14" s="23" customFormat="1">
      <c r="A27" s="9" t="s">
        <v>39</v>
      </c>
      <c r="B27" s="9"/>
      <c r="C27" s="16">
        <v>1.2</v>
      </c>
      <c r="E27" s="103" t="s">
        <v>41</v>
      </c>
      <c r="F27" s="103"/>
      <c r="G27" s="103"/>
      <c r="H27" s="103"/>
      <c r="I27" s="103"/>
      <c r="K27" s="71"/>
    </row>
    <row r="28" spans="1:14" s="23" customFormat="1">
      <c r="A28" s="9" t="s">
        <v>40</v>
      </c>
      <c r="B28" s="9"/>
      <c r="C28" s="16">
        <v>1.5</v>
      </c>
      <c r="E28" s="103"/>
      <c r="F28" s="103"/>
      <c r="G28" s="103"/>
      <c r="H28" s="103"/>
      <c r="I28" s="103"/>
      <c r="K28" s="71"/>
    </row>
    <row r="29" spans="1:14" s="23" customFormat="1" ht="16.8">
      <c r="A29" s="9" t="s">
        <v>29</v>
      </c>
      <c r="B29" s="9"/>
      <c r="C29" s="13">
        <f>((C22*C24/1000*C23)*3.6)+((C22*C25)/1000/24*C27)</f>
        <v>164.4</v>
      </c>
      <c r="E29" s="103"/>
      <c r="F29" s="103"/>
      <c r="G29" s="103"/>
      <c r="H29" s="103"/>
      <c r="I29" s="103"/>
      <c r="K29" s="71"/>
    </row>
    <row r="30" spans="1:14" s="23" customFormat="1" ht="16.8">
      <c r="A30" s="9" t="s">
        <v>30</v>
      </c>
      <c r="B30" s="9"/>
      <c r="C30" s="13">
        <f>((C22*C24/1000*C23)*3.6)+((C22*C25)/1000/24*C27*C28)</f>
        <v>239.4</v>
      </c>
      <c r="E30" s="103"/>
      <c r="F30" s="103"/>
      <c r="G30" s="103"/>
      <c r="H30" s="103"/>
      <c r="I30" s="103"/>
      <c r="K30" s="71"/>
    </row>
    <row r="31" spans="1:14">
      <c r="A31" s="9"/>
      <c r="B31" s="9"/>
      <c r="C31" s="9"/>
      <c r="D31" s="9"/>
      <c r="E31" s="12"/>
      <c r="F31" s="1"/>
    </row>
    <row r="32" spans="1:14" s="23" customFormat="1">
      <c r="A32" s="32" t="s">
        <v>1</v>
      </c>
      <c r="B32" s="32"/>
      <c r="C32" s="32"/>
      <c r="D32" s="32"/>
      <c r="E32" s="32"/>
      <c r="F32" s="32"/>
      <c r="G32" s="102" t="s">
        <v>24</v>
      </c>
      <c r="H32" s="102"/>
      <c r="I32" s="102"/>
      <c r="J32" s="102"/>
      <c r="K32" s="101"/>
      <c r="L32" s="101"/>
      <c r="M32" s="101"/>
      <c r="N32" s="101"/>
    </row>
    <row r="33" spans="1:14">
      <c r="A33" s="6"/>
      <c r="B33" s="9"/>
      <c r="C33" s="9"/>
      <c r="D33" s="9"/>
      <c r="E33" s="12"/>
      <c r="F33" s="1"/>
    </row>
    <row r="34" spans="1:14">
      <c r="A34" s="10" t="s">
        <v>3</v>
      </c>
      <c r="B34" s="10"/>
      <c r="C34" s="10"/>
      <c r="D34" s="10"/>
      <c r="E34" s="2">
        <v>55</v>
      </c>
    </row>
    <row r="35" spans="1:14">
      <c r="A35" s="10" t="s">
        <v>4</v>
      </c>
      <c r="B35" s="10"/>
      <c r="C35" s="10"/>
      <c r="D35" s="10"/>
      <c r="E35" s="2">
        <v>100</v>
      </c>
    </row>
    <row r="36" spans="1:14">
      <c r="A36" s="10" t="s">
        <v>5</v>
      </c>
      <c r="B36" s="10"/>
      <c r="C36" s="10"/>
      <c r="D36" s="10"/>
      <c r="E36" s="2">
        <v>60</v>
      </c>
    </row>
    <row r="37" spans="1:14">
      <c r="A37" s="10" t="s">
        <v>14</v>
      </c>
      <c r="B37" s="10"/>
      <c r="C37" s="10"/>
      <c r="D37" s="10"/>
      <c r="E37" s="18">
        <f>($E$34*C22)/(C26*24)</f>
        <v>328.79005260640838</v>
      </c>
    </row>
    <row r="38" spans="1:14">
      <c r="A38" s="10" t="s">
        <v>15</v>
      </c>
      <c r="B38" s="10"/>
      <c r="C38" s="10"/>
      <c r="D38" s="10"/>
      <c r="E38" s="18">
        <f>($E$35*C22)/(C26*24)</f>
        <v>597.80009564801526</v>
      </c>
    </row>
    <row r="39" spans="1:14">
      <c r="A39" s="10" t="s">
        <v>16</v>
      </c>
      <c r="B39" s="10"/>
      <c r="C39" s="10"/>
      <c r="D39" s="10"/>
      <c r="E39" s="18">
        <f>($E$36*C22)/(C26*24)</f>
        <v>358.68005738880913</v>
      </c>
    </row>
    <row r="40" spans="1:14">
      <c r="A40" s="9" t="s">
        <v>6</v>
      </c>
      <c r="B40" s="9"/>
      <c r="C40" s="9"/>
      <c r="D40" s="9"/>
      <c r="E40" s="46">
        <v>20</v>
      </c>
    </row>
    <row r="41" spans="1:14" ht="16.8">
      <c r="A41" s="9" t="s">
        <v>104</v>
      </c>
      <c r="B41" s="9"/>
      <c r="C41" s="9"/>
      <c r="D41" s="9"/>
      <c r="E41" s="2">
        <v>130</v>
      </c>
      <c r="F41" s="38"/>
      <c r="G41" s="56" t="s">
        <v>102</v>
      </c>
      <c r="H41" s="1"/>
    </row>
    <row r="42" spans="1:14">
      <c r="A42" s="1"/>
      <c r="B42" s="1"/>
      <c r="C42" s="1"/>
      <c r="D42" s="1"/>
      <c r="E42" s="1"/>
      <c r="F42" s="1"/>
      <c r="G42" s="1"/>
      <c r="H42" s="1"/>
    </row>
    <row r="43" spans="1:14" s="23" customFormat="1">
      <c r="A43" s="32" t="s">
        <v>0</v>
      </c>
      <c r="B43" s="32"/>
      <c r="C43" s="32"/>
      <c r="D43" s="32"/>
      <c r="E43" s="32"/>
      <c r="F43" s="32"/>
      <c r="G43" s="32"/>
      <c r="H43" s="32"/>
      <c r="I43" s="32"/>
      <c r="J43" s="33"/>
      <c r="K43" s="101"/>
      <c r="L43" s="101"/>
      <c r="M43" s="101"/>
      <c r="N43" s="101"/>
    </row>
    <row r="44" spans="1:14" ht="16.8">
      <c r="A44" s="31"/>
      <c r="B44" s="1"/>
      <c r="C44" s="1"/>
      <c r="D44" s="1"/>
      <c r="E44" s="1"/>
      <c r="H44" s="68" t="s">
        <v>27</v>
      </c>
      <c r="I44" s="68" t="s">
        <v>19</v>
      </c>
      <c r="J44" s="102" t="s">
        <v>24</v>
      </c>
      <c r="K44" s="102"/>
      <c r="L44" s="102"/>
      <c r="M44" s="102"/>
      <c r="N44" s="102"/>
    </row>
    <row r="45" spans="1:14">
      <c r="A45" s="7"/>
      <c r="B45" s="7"/>
      <c r="C45" s="7"/>
      <c r="D45" s="7"/>
      <c r="E45" s="7"/>
      <c r="F45" s="7"/>
      <c r="G45" s="7"/>
      <c r="H45" s="7"/>
    </row>
    <row r="46" spans="1:14">
      <c r="A46" s="73" t="s">
        <v>43</v>
      </c>
      <c r="B46" s="44"/>
      <c r="C46" s="44"/>
      <c r="D46" s="44"/>
      <c r="E46" s="3"/>
      <c r="H46" s="35">
        <v>8.5</v>
      </c>
      <c r="I46" s="42"/>
      <c r="J46" s="97" t="s">
        <v>42</v>
      </c>
      <c r="K46" s="97"/>
      <c r="L46" s="97"/>
      <c r="M46" s="97"/>
      <c r="N46" s="97"/>
    </row>
    <row r="47" spans="1:14">
      <c r="I47" s="42"/>
      <c r="J47" s="42"/>
    </row>
    <row r="48" spans="1:14" ht="16.8">
      <c r="A48" s="83" t="s">
        <v>141</v>
      </c>
      <c r="B48" s="20"/>
      <c r="C48" s="20"/>
      <c r="D48" s="20"/>
      <c r="H48" s="18">
        <f>C26*$H$46</f>
        <v>1184.9000000000001</v>
      </c>
      <c r="I48" s="42"/>
      <c r="J48" s="42"/>
    </row>
    <row r="49" spans="1:14">
      <c r="C49" s="44"/>
      <c r="D49" s="44"/>
      <c r="I49" s="42"/>
      <c r="J49" s="42"/>
    </row>
    <row r="50" spans="1:14">
      <c r="A50" s="73" t="s">
        <v>44</v>
      </c>
      <c r="B50" s="44"/>
      <c r="C50" s="44"/>
      <c r="D50" s="44"/>
      <c r="E50" s="44"/>
      <c r="H50" s="2">
        <v>4</v>
      </c>
      <c r="I50" s="42"/>
      <c r="J50" s="42"/>
    </row>
    <row r="51" spans="1:14">
      <c r="E51" s="44"/>
      <c r="I51" s="42"/>
      <c r="J51" s="42"/>
    </row>
    <row r="52" spans="1:14" ht="16.8">
      <c r="A52" s="73" t="s">
        <v>140</v>
      </c>
      <c r="B52" s="44"/>
      <c r="C52" s="44"/>
      <c r="D52" s="44"/>
      <c r="E52" s="44"/>
      <c r="H52" s="18">
        <f>$H$48/H50</f>
        <v>296.22500000000002</v>
      </c>
      <c r="I52" s="42"/>
    </row>
    <row r="54" spans="1:14" ht="16.8">
      <c r="A54" s="73" t="s">
        <v>139</v>
      </c>
      <c r="B54" s="44"/>
      <c r="C54" s="44"/>
      <c r="D54" s="44"/>
      <c r="H54" s="2">
        <v>4.7</v>
      </c>
      <c r="I54" s="42"/>
      <c r="K54" s="97" t="s">
        <v>42</v>
      </c>
      <c r="L54" s="97"/>
      <c r="M54" s="97"/>
      <c r="N54" s="97"/>
    </row>
    <row r="56" spans="1:14" ht="16.8">
      <c r="A56" s="87" t="s">
        <v>138</v>
      </c>
      <c r="B56" s="49"/>
      <c r="C56" s="20"/>
      <c r="F56" s="29"/>
      <c r="H56" s="18">
        <f>H52/H54</f>
        <v>63.026595744680854</v>
      </c>
      <c r="K56"/>
    </row>
    <row r="57" spans="1:14">
      <c r="K57"/>
    </row>
    <row r="58" spans="1:14" ht="15" customHeight="1">
      <c r="A58" s="83" t="s">
        <v>137</v>
      </c>
      <c r="B58" s="20"/>
      <c r="C58" s="20"/>
      <c r="D58" s="20"/>
      <c r="K58"/>
    </row>
    <row r="59" spans="1:14">
      <c r="A59" s="20"/>
    </row>
    <row r="60" spans="1:14" ht="15.75" customHeight="1">
      <c r="A60" s="8"/>
    </row>
    <row r="61" spans="1:14" ht="15.75" customHeight="1">
      <c r="A61" s="20"/>
    </row>
    <row r="62" spans="1:14" ht="15.75" customHeight="1">
      <c r="H62" s="61"/>
    </row>
    <row r="63" spans="1:14" ht="15.75" customHeight="1">
      <c r="H63" s="61" t="b">
        <v>1</v>
      </c>
    </row>
    <row r="64" spans="1:14" ht="15.75" customHeight="1">
      <c r="H64" s="61" t="b">
        <v>0</v>
      </c>
    </row>
    <row r="65" spans="1:14" ht="15.75" customHeight="1">
      <c r="H65" s="61" t="b">
        <v>1</v>
      </c>
    </row>
    <row r="66" spans="1:14">
      <c r="H66" s="61"/>
      <c r="K66" s="70"/>
    </row>
    <row r="67" spans="1:14">
      <c r="H67" s="61"/>
      <c r="K67" s="70"/>
    </row>
    <row r="68" spans="1:14">
      <c r="K68" s="70"/>
    </row>
    <row r="69" spans="1:14">
      <c r="K69" s="70"/>
    </row>
    <row r="70" spans="1:14">
      <c r="K70" s="70"/>
    </row>
    <row r="71" spans="1:14" ht="14.5" customHeight="1">
      <c r="A71" s="84" t="s">
        <v>45</v>
      </c>
      <c r="B71" s="80" t="s">
        <v>134</v>
      </c>
      <c r="H71" s="35">
        <v>9</v>
      </c>
      <c r="J71" s="99" t="s">
        <v>119</v>
      </c>
      <c r="K71" s="99"/>
      <c r="L71" s="99"/>
      <c r="M71" s="99"/>
      <c r="N71" s="99"/>
    </row>
    <row r="72" spans="1:14" ht="15.75" customHeight="1">
      <c r="A72" s="84" t="s">
        <v>46</v>
      </c>
      <c r="B72" s="86" t="s">
        <v>136</v>
      </c>
      <c r="C72" s="43"/>
      <c r="D72" s="43"/>
      <c r="G72" s="29"/>
      <c r="H72" s="18">
        <f>H71/3</f>
        <v>3</v>
      </c>
      <c r="J72" s="99"/>
      <c r="K72" s="99"/>
      <c r="L72" s="99"/>
      <c r="M72" s="99"/>
      <c r="N72" s="99"/>
    </row>
    <row r="73" spans="1:14" ht="14.5" customHeight="1">
      <c r="A73" s="84" t="s">
        <v>47</v>
      </c>
      <c r="B73" s="80" t="s">
        <v>81</v>
      </c>
      <c r="H73" s="15">
        <f>H56/H71</f>
        <v>7.002955082742317</v>
      </c>
      <c r="J73" s="98" t="s">
        <v>50</v>
      </c>
      <c r="K73" s="98"/>
      <c r="L73" s="98"/>
      <c r="M73" s="98"/>
      <c r="N73" s="98"/>
    </row>
    <row r="74" spans="1:14" ht="16.8">
      <c r="A74" s="84" t="s">
        <v>48</v>
      </c>
      <c r="B74" s="85" t="s">
        <v>135</v>
      </c>
      <c r="C74" s="14"/>
      <c r="D74" s="116" t="s">
        <v>128</v>
      </c>
      <c r="E74" s="116"/>
      <c r="F74" s="116"/>
      <c r="G74" s="58"/>
      <c r="H74" s="59"/>
      <c r="I74" s="58"/>
      <c r="J74" s="98"/>
      <c r="K74" s="98"/>
      <c r="L74" s="98"/>
      <c r="M74" s="98"/>
      <c r="N74" s="98"/>
    </row>
    <row r="75" spans="1:14" ht="14.25" customHeight="1">
      <c r="B75" s="45"/>
      <c r="C75" s="14"/>
      <c r="D75" s="77" t="s">
        <v>124</v>
      </c>
      <c r="E75" s="77" t="s">
        <v>125</v>
      </c>
      <c r="F75" s="77" t="s">
        <v>126</v>
      </c>
      <c r="G75" s="58"/>
      <c r="H75" s="59"/>
      <c r="I75" s="58"/>
      <c r="J75" s="98"/>
      <c r="K75" s="98"/>
      <c r="L75" s="98"/>
      <c r="M75" s="98"/>
      <c r="N75" s="98"/>
    </row>
    <row r="76" spans="1:14">
      <c r="B76" s="45"/>
      <c r="C76" s="60"/>
      <c r="D76" s="88"/>
      <c r="E76" s="89"/>
      <c r="F76" s="89"/>
      <c r="G76" s="58"/>
      <c r="H76" s="59"/>
      <c r="I76" s="58"/>
      <c r="J76" s="98"/>
      <c r="K76" s="98"/>
      <c r="L76" s="98"/>
      <c r="M76" s="98"/>
      <c r="N76" s="98"/>
    </row>
    <row r="77" spans="1:14">
      <c r="B77" s="45"/>
      <c r="C77" s="60"/>
      <c r="D77" s="64"/>
      <c r="E77" s="75"/>
      <c r="F77" s="75"/>
      <c r="G77" s="58"/>
      <c r="H77" s="59"/>
      <c r="I77" s="58"/>
      <c r="J77" s="98"/>
      <c r="K77" s="98"/>
      <c r="L77" s="98"/>
      <c r="M77" s="98"/>
      <c r="N77" s="98"/>
    </row>
    <row r="78" spans="1:14">
      <c r="B78" s="45"/>
      <c r="C78" s="60"/>
      <c r="D78" s="64"/>
      <c r="E78" s="75"/>
      <c r="F78" s="75"/>
      <c r="G78" s="58"/>
      <c r="H78" s="59"/>
      <c r="I78" s="58"/>
      <c r="J78" s="98"/>
      <c r="K78" s="98"/>
      <c r="L78" s="98"/>
      <c r="M78" s="98"/>
      <c r="N78" s="98"/>
    </row>
    <row r="79" spans="1:14">
      <c r="B79" s="45"/>
      <c r="C79" s="60"/>
      <c r="D79" s="64"/>
      <c r="E79" s="75"/>
      <c r="F79" s="75"/>
      <c r="G79" s="58"/>
      <c r="H79" s="59"/>
      <c r="I79" s="58"/>
      <c r="J79" s="98"/>
      <c r="K79" s="98"/>
      <c r="L79" s="98"/>
      <c r="M79" s="98"/>
      <c r="N79" s="98"/>
    </row>
    <row r="80" spans="1:14">
      <c r="B80" s="45"/>
      <c r="C80" s="60"/>
      <c r="D80" s="64"/>
      <c r="E80" s="75"/>
      <c r="F80" s="75"/>
      <c r="G80" s="58"/>
      <c r="H80" s="59"/>
      <c r="I80" s="58"/>
      <c r="J80" s="98"/>
      <c r="K80" s="98"/>
      <c r="L80" s="98"/>
      <c r="M80" s="98"/>
      <c r="N80" s="98"/>
    </row>
    <row r="81" spans="1:14">
      <c r="B81" s="45"/>
      <c r="C81" s="60"/>
      <c r="D81" s="65"/>
      <c r="E81" s="76"/>
      <c r="F81" s="76"/>
      <c r="G81" s="58"/>
      <c r="H81" s="59"/>
      <c r="I81" s="58"/>
      <c r="J81" s="98"/>
      <c r="K81" s="98"/>
      <c r="L81" s="98"/>
      <c r="M81" s="98"/>
      <c r="N81" s="98"/>
    </row>
    <row r="82" spans="1:14" ht="16.8">
      <c r="B82" t="s">
        <v>25</v>
      </c>
      <c r="D82" s="61" t="b">
        <v>0</v>
      </c>
      <c r="E82" s="62" t="b">
        <v>0</v>
      </c>
      <c r="F82" s="63" t="b">
        <v>0</v>
      </c>
      <c r="G82" s="29"/>
      <c r="H82" s="15">
        <f>IF(D82=TRUE,3,IF(E82=TRUE,3.5,IF(E83=TRUE,4,IF(E84=TRUE,4.5,IF(E85=TRUE,5,IF(E86=TRUE,5.5,IF(E87=TRUE,6,IF(F82=TRUE,6.5,IF(F83=TRUE,7,IF(F84=TRUE,7.5,IF(F85=TRUE,8,IF(F86=TRUE,8.5,IF(F87=TRUE,9,"-")))))))))))))</f>
        <v>4.5</v>
      </c>
      <c r="J82" s="98"/>
      <c r="K82" s="98"/>
      <c r="L82" s="98"/>
      <c r="M82" s="98"/>
      <c r="N82" s="98"/>
    </row>
    <row r="83" spans="1:14" ht="16.8">
      <c r="B83" s="11" t="s">
        <v>26</v>
      </c>
      <c r="C83" s="11"/>
      <c r="D83" s="61"/>
      <c r="E83" s="61" t="b">
        <v>0</v>
      </c>
      <c r="F83" s="61" t="b">
        <v>0</v>
      </c>
      <c r="G83" s="29"/>
      <c r="H83" s="15">
        <f>H82+1.9</f>
        <v>6.4</v>
      </c>
      <c r="J83" s="98"/>
      <c r="K83" s="98"/>
      <c r="L83" s="98"/>
      <c r="M83" s="98"/>
      <c r="N83" s="98"/>
    </row>
    <row r="84" spans="1:14" ht="16.8">
      <c r="A84" s="78" t="s">
        <v>49</v>
      </c>
      <c r="B84" s="80" t="s">
        <v>146</v>
      </c>
      <c r="D84" s="61"/>
      <c r="E84" s="61" t="b">
        <v>1</v>
      </c>
      <c r="F84" s="61" t="b">
        <v>0</v>
      </c>
      <c r="H84" s="16">
        <v>0.4</v>
      </c>
      <c r="J84" s="98"/>
      <c r="K84" s="98"/>
      <c r="L84" s="98"/>
      <c r="M84" s="98"/>
      <c r="N84" s="98"/>
    </row>
    <row r="85" spans="1:14" ht="28.8" customHeight="1">
      <c r="A85" s="78" t="s">
        <v>51</v>
      </c>
      <c r="B85" s="81" t="s">
        <v>79</v>
      </c>
      <c r="D85" s="61"/>
      <c r="E85" s="61" t="b">
        <v>0</v>
      </c>
      <c r="F85" s="61" t="b">
        <v>0</v>
      </c>
      <c r="H85" s="36">
        <f>H83+2*H84</f>
        <v>7.2</v>
      </c>
      <c r="K85" s="98" t="s">
        <v>147</v>
      </c>
      <c r="L85" s="98"/>
      <c r="M85" s="98"/>
      <c r="N85" s="98"/>
    </row>
    <row r="86" spans="1:14">
      <c r="B86" s="12"/>
      <c r="D86" s="61"/>
      <c r="E86" s="61" t="b">
        <v>0</v>
      </c>
      <c r="F86" s="61" t="b">
        <v>0</v>
      </c>
    </row>
    <row r="87" spans="1:14">
      <c r="A87" s="73" t="s">
        <v>52</v>
      </c>
      <c r="B87" s="73" t="s">
        <v>53</v>
      </c>
      <c r="C87" s="66"/>
      <c r="D87" s="61"/>
      <c r="E87" s="61" t="b">
        <v>0</v>
      </c>
      <c r="F87" s="61" t="b">
        <v>0</v>
      </c>
      <c r="K87" s="98" t="s">
        <v>57</v>
      </c>
      <c r="L87" s="98"/>
      <c r="M87" s="98"/>
      <c r="N87" s="98"/>
    </row>
    <row r="88" spans="1:14" ht="16.8">
      <c r="B88" s="30" t="s">
        <v>54</v>
      </c>
      <c r="C88" s="30"/>
      <c r="D88" s="5"/>
      <c r="E88" s="5"/>
      <c r="H88" s="18">
        <f>H85*H71</f>
        <v>64.8</v>
      </c>
      <c r="K88" s="70"/>
    </row>
    <row r="89" spans="1:14" ht="16.8">
      <c r="B89" s="30" t="s">
        <v>55</v>
      </c>
      <c r="C89" s="30"/>
      <c r="D89" s="5"/>
      <c r="E89" s="5"/>
      <c r="H89" s="18">
        <f>H88*H54</f>
        <v>304.56</v>
      </c>
      <c r="K89" s="70"/>
    </row>
    <row r="90" spans="1:14">
      <c r="B90" s="30"/>
      <c r="C90" s="30"/>
      <c r="D90" s="5"/>
      <c r="E90" s="5"/>
      <c r="K90" s="70"/>
    </row>
    <row r="91" spans="1:14" s="96" customFormat="1" ht="57.3" customHeight="1">
      <c r="A91" s="92" t="s">
        <v>56</v>
      </c>
      <c r="B91" s="93" t="s">
        <v>78</v>
      </c>
      <c r="C91" s="94"/>
      <c r="D91" s="95"/>
      <c r="E91" s="95"/>
      <c r="H91" s="36">
        <f>H89/(C26/H50)</f>
        <v>8.7391678622668572</v>
      </c>
      <c r="J91" s="100" t="s">
        <v>148</v>
      </c>
      <c r="K91" s="100"/>
      <c r="L91" s="100"/>
      <c r="M91" s="100"/>
      <c r="N91" s="100"/>
    </row>
    <row r="92" spans="1:14" ht="19.5" customHeight="1">
      <c r="A92" s="73" t="s">
        <v>58</v>
      </c>
      <c r="B92" s="79" t="s">
        <v>59</v>
      </c>
      <c r="C92" s="30"/>
      <c r="D92" s="5"/>
      <c r="E92" s="5"/>
      <c r="H92" s="36">
        <f>(C26/$H$50)/$H$88</f>
        <v>0.53780864197530864</v>
      </c>
      <c r="I92" s="36">
        <f>(C30/$H$50)/$H$88</f>
        <v>0.92361111111111116</v>
      </c>
      <c r="K92" s="120" t="s">
        <v>122</v>
      </c>
      <c r="L92" s="121"/>
      <c r="M92" s="121"/>
      <c r="N92" s="121"/>
    </row>
    <row r="93" spans="1:14">
      <c r="A93" s="66"/>
      <c r="B93" s="66"/>
      <c r="C93" s="30"/>
      <c r="D93" s="5"/>
      <c r="E93" s="5"/>
      <c r="K93" s="41"/>
      <c r="L93" s="42"/>
      <c r="M93" s="42"/>
      <c r="N93" s="42"/>
    </row>
    <row r="94" spans="1:14">
      <c r="A94" s="74" t="s">
        <v>60</v>
      </c>
      <c r="B94" s="115" t="s">
        <v>61</v>
      </c>
      <c r="C94" s="115"/>
      <c r="D94" s="115"/>
      <c r="E94" s="5"/>
      <c r="K94" s="70"/>
    </row>
    <row r="95" spans="1:14">
      <c r="B95" s="30" t="s">
        <v>142</v>
      </c>
      <c r="C95" s="30"/>
      <c r="D95" s="30"/>
      <c r="E95" s="30"/>
      <c r="G95" s="21"/>
      <c r="H95" s="25">
        <f>H72*H50</f>
        <v>12</v>
      </c>
      <c r="I95" s="42"/>
      <c r="J95" s="42"/>
    </row>
    <row r="96" spans="1:14" ht="16.8">
      <c r="B96" s="30" t="s">
        <v>77</v>
      </c>
      <c r="C96" s="30"/>
      <c r="D96" s="30"/>
      <c r="E96" s="30"/>
      <c r="G96" s="21"/>
      <c r="H96" s="25">
        <f>IF(H95=1,"0",(H72-1)*H50)</f>
        <v>8</v>
      </c>
      <c r="I96" s="42"/>
      <c r="J96" s="42"/>
    </row>
    <row r="97" spans="1:14" ht="16.8">
      <c r="B97" s="30" t="s">
        <v>62</v>
      </c>
      <c r="C97" s="30"/>
      <c r="D97" s="30"/>
      <c r="E97" s="30"/>
      <c r="G97" s="21"/>
      <c r="H97" s="25">
        <f>2*H50</f>
        <v>8</v>
      </c>
      <c r="I97" s="42"/>
      <c r="J97" s="42"/>
    </row>
    <row r="98" spans="1:14" ht="16.8">
      <c r="B98" s="30" t="s">
        <v>82</v>
      </c>
      <c r="C98" s="30"/>
      <c r="D98" s="30"/>
      <c r="E98" s="30"/>
      <c r="G98" s="21"/>
      <c r="H98" s="25">
        <v>0.7</v>
      </c>
      <c r="I98" s="42"/>
      <c r="J98" s="42"/>
      <c r="K98" s="98" t="s">
        <v>63</v>
      </c>
      <c r="L98" s="98"/>
      <c r="M98" s="98"/>
      <c r="N98" s="98"/>
    </row>
    <row r="99" spans="1:14" ht="16.8">
      <c r="B99" s="12" t="s">
        <v>80</v>
      </c>
      <c r="C99" s="30"/>
      <c r="D99" s="30"/>
      <c r="E99" s="30"/>
      <c r="G99" s="27"/>
      <c r="H99" s="25">
        <f>H84</f>
        <v>0.4</v>
      </c>
      <c r="I99" s="42"/>
      <c r="J99" s="42"/>
      <c r="K99" s="98"/>
      <c r="L99" s="98"/>
      <c r="M99" s="98"/>
      <c r="N99" s="98"/>
    </row>
    <row r="100" spans="1:14" ht="16.75" customHeight="1">
      <c r="B100" s="30" t="s">
        <v>83</v>
      </c>
      <c r="C100" s="30"/>
      <c r="D100" s="30"/>
      <c r="E100" s="30"/>
      <c r="G100" s="27"/>
      <c r="H100" s="26">
        <f>H85</f>
        <v>7.2</v>
      </c>
      <c r="I100" s="42"/>
      <c r="J100" s="98" t="s">
        <v>117</v>
      </c>
      <c r="K100" s="98"/>
      <c r="L100" s="98"/>
      <c r="M100" s="98"/>
      <c r="N100" s="98"/>
    </row>
    <row r="101" spans="1:14" ht="18" customHeight="1">
      <c r="B101" s="30" t="s">
        <v>64</v>
      </c>
      <c r="C101" s="30"/>
      <c r="D101" s="30"/>
      <c r="E101" s="30"/>
      <c r="G101" s="27"/>
      <c r="H101" s="25">
        <f>H100*(H96*H98+H97*H99)</f>
        <v>63.360000000000007</v>
      </c>
      <c r="I101" s="42"/>
      <c r="J101" s="42"/>
    </row>
    <row r="102" spans="1:14" ht="5.0999999999999996" customHeight="1"/>
    <row r="103" spans="1:14" ht="16.350000000000001" customHeight="1">
      <c r="B103" s="82" t="s">
        <v>130</v>
      </c>
      <c r="C103" s="30"/>
      <c r="D103" s="30"/>
      <c r="E103" s="30"/>
      <c r="H103" s="15">
        <f>C26/$H$101</f>
        <v>2.2001262626262625</v>
      </c>
      <c r="I103" s="15">
        <f>C30/$H$101</f>
        <v>3.7784090909090908</v>
      </c>
      <c r="K103" s="111" t="s">
        <v>120</v>
      </c>
      <c r="L103" s="112"/>
      <c r="M103" s="112"/>
      <c r="N103" s="112"/>
    </row>
    <row r="104" spans="1:14" ht="16.350000000000001" customHeight="1">
      <c r="A104" s="66"/>
      <c r="B104" s="66"/>
      <c r="C104" s="66"/>
      <c r="D104" s="66"/>
      <c r="E104" s="66"/>
      <c r="K104" s="53"/>
      <c r="L104" s="54"/>
      <c r="M104" s="54"/>
      <c r="N104" s="54"/>
    </row>
    <row r="105" spans="1:14">
      <c r="A105" s="74" t="s">
        <v>65</v>
      </c>
      <c r="B105" s="108" t="s">
        <v>66</v>
      </c>
      <c r="C105" s="108"/>
      <c r="D105" s="108"/>
      <c r="E105" s="108"/>
      <c r="F105" s="108"/>
      <c r="G105" s="108"/>
      <c r="K105" s="70"/>
    </row>
    <row r="106" spans="1:14" ht="16.8">
      <c r="B106" s="30" t="s">
        <v>99</v>
      </c>
      <c r="C106" s="30"/>
      <c r="D106" s="30"/>
      <c r="E106" s="66"/>
      <c r="F106" s="66"/>
      <c r="H106" s="13">
        <f>H95</f>
        <v>12</v>
      </c>
      <c r="I106" s="42"/>
      <c r="J106" s="42"/>
    </row>
    <row r="107" spans="1:14" ht="16.8">
      <c r="B107" s="30" t="s">
        <v>84</v>
      </c>
      <c r="C107" s="30"/>
      <c r="D107" s="30"/>
      <c r="E107" s="17"/>
      <c r="H107" s="15">
        <f>H83</f>
        <v>6.4</v>
      </c>
      <c r="I107" s="42"/>
      <c r="J107" s="42"/>
    </row>
    <row r="108" spans="1:14" ht="16.8">
      <c r="B108" s="30" t="s">
        <v>85</v>
      </c>
      <c r="C108" s="30"/>
      <c r="D108" s="30"/>
      <c r="E108" s="17"/>
      <c r="H108" s="18">
        <f>H106*H107</f>
        <v>76.800000000000011</v>
      </c>
      <c r="I108" s="42"/>
      <c r="J108" s="42"/>
    </row>
    <row r="109" spans="1:14" ht="16.8">
      <c r="B109" s="30" t="s">
        <v>86</v>
      </c>
      <c r="C109" s="30"/>
      <c r="D109" s="30"/>
      <c r="E109" s="17"/>
      <c r="H109" s="13">
        <v>0.4</v>
      </c>
      <c r="I109" s="42"/>
      <c r="J109" s="42"/>
      <c r="K109" s="98" t="s">
        <v>63</v>
      </c>
      <c r="L109" s="98"/>
      <c r="M109" s="98"/>
      <c r="N109" s="98"/>
    </row>
    <row r="110" spans="1:14" ht="16.8">
      <c r="B110" s="30" t="s">
        <v>87</v>
      </c>
      <c r="C110" s="30"/>
      <c r="D110" s="30"/>
      <c r="E110" s="17"/>
      <c r="H110" s="13">
        <f>(H71-(H72*H109))/(H106/H50)</f>
        <v>2.6</v>
      </c>
      <c r="I110" s="42"/>
      <c r="J110" s="42"/>
    </row>
    <row r="111" spans="1:14" ht="16.8">
      <c r="B111" s="30" t="s">
        <v>88</v>
      </c>
      <c r="C111" s="30"/>
      <c r="D111" s="30"/>
      <c r="E111" s="17"/>
      <c r="H111" s="15">
        <f>H108*H110</f>
        <v>199.68000000000004</v>
      </c>
      <c r="I111" s="42"/>
      <c r="J111" s="42"/>
      <c r="K111" s="67"/>
      <c r="L111" s="50"/>
      <c r="M111" s="50"/>
      <c r="N111" s="50"/>
    </row>
    <row r="112" spans="1:14" ht="15.6">
      <c r="B112" s="82" t="s">
        <v>89</v>
      </c>
      <c r="C112" s="30"/>
      <c r="D112" s="30"/>
      <c r="E112" s="30"/>
      <c r="F112" s="30"/>
      <c r="H112" s="15">
        <f>C26/$H$111</f>
        <v>0.69811698717948711</v>
      </c>
      <c r="I112" s="15">
        <f>C30/$H$111</f>
        <v>1.1989182692307689</v>
      </c>
      <c r="K112" s="113" t="s">
        <v>121</v>
      </c>
      <c r="L112" s="114"/>
      <c r="M112" s="114"/>
      <c r="N112" s="114"/>
    </row>
    <row r="113" spans="1:14">
      <c r="B113" s="66"/>
      <c r="C113" s="66"/>
      <c r="D113" s="66"/>
      <c r="E113" s="66"/>
      <c r="F113" s="66"/>
      <c r="H113" s="55"/>
      <c r="I113" s="55"/>
      <c r="J113" s="55"/>
      <c r="K113" s="55"/>
      <c r="L113" s="69"/>
      <c r="M113" s="69"/>
      <c r="N113" s="69"/>
    </row>
    <row r="114" spans="1:14">
      <c r="A114" s="74" t="s">
        <v>67</v>
      </c>
      <c r="B114" s="108" t="s">
        <v>68</v>
      </c>
      <c r="C114" s="108"/>
      <c r="D114" s="108"/>
      <c r="E114" s="108"/>
      <c r="F114" s="108"/>
      <c r="G114" s="108"/>
      <c r="J114" s="12"/>
      <c r="K114" s="67"/>
      <c r="L114" s="51"/>
      <c r="M114" s="51"/>
      <c r="N114" s="50"/>
    </row>
    <row r="115" spans="1:14" ht="16.8">
      <c r="B115" s="66" t="s">
        <v>90</v>
      </c>
      <c r="C115" s="66"/>
      <c r="D115" s="66"/>
      <c r="E115" s="66"/>
      <c r="H115" s="19">
        <v>1.3</v>
      </c>
      <c r="I115" s="42"/>
      <c r="J115" s="42"/>
      <c r="K115" s="117" t="s">
        <v>63</v>
      </c>
      <c r="L115" s="117"/>
      <c r="M115" s="117"/>
      <c r="N115" s="117"/>
    </row>
    <row r="116" spans="1:14" ht="16.8">
      <c r="B116" s="66" t="s">
        <v>91</v>
      </c>
      <c r="C116" s="66"/>
      <c r="D116" s="66"/>
      <c r="E116" s="66"/>
      <c r="H116" s="19">
        <v>0.4</v>
      </c>
      <c r="I116" s="42"/>
      <c r="J116" s="42"/>
      <c r="K116" s="117"/>
      <c r="L116" s="117"/>
      <c r="M116" s="117"/>
      <c r="N116" s="117"/>
    </row>
    <row r="117" spans="1:14" ht="16.8">
      <c r="B117" s="66" t="s">
        <v>92</v>
      </c>
      <c r="C117" s="66"/>
      <c r="D117" s="66"/>
      <c r="E117" s="66"/>
      <c r="H117" s="13">
        <v>53.8</v>
      </c>
      <c r="I117" s="42"/>
      <c r="J117" s="42"/>
      <c r="K117" s="117"/>
      <c r="L117" s="117"/>
      <c r="M117" s="117"/>
      <c r="N117" s="117"/>
    </row>
    <row r="118" spans="1:14" ht="16.8">
      <c r="B118" s="66" t="s">
        <v>93</v>
      </c>
      <c r="C118" s="66"/>
      <c r="D118" s="66"/>
      <c r="E118" s="66"/>
      <c r="H118" s="19">
        <v>0.95</v>
      </c>
      <c r="I118" s="42"/>
      <c r="J118" s="42"/>
      <c r="K118" s="117"/>
      <c r="L118" s="117"/>
      <c r="M118" s="117"/>
      <c r="N118" s="117"/>
    </row>
    <row r="119" spans="1:14" ht="16.8">
      <c r="B119" s="66" t="s">
        <v>82</v>
      </c>
      <c r="C119" s="66"/>
      <c r="D119" s="66"/>
      <c r="E119" s="66"/>
      <c r="H119" s="19">
        <v>0.7</v>
      </c>
      <c r="I119" s="42"/>
      <c r="J119" s="42"/>
      <c r="K119" s="117"/>
      <c r="L119" s="117"/>
      <c r="M119" s="117"/>
      <c r="N119" s="117"/>
    </row>
    <row r="120" spans="1:14" ht="16.8">
      <c r="B120" s="66" t="s">
        <v>96</v>
      </c>
      <c r="C120" s="66"/>
      <c r="D120" s="66"/>
      <c r="E120" s="66"/>
      <c r="H120" s="19">
        <f>(H118*H115)/2</f>
        <v>0.61749999999999994</v>
      </c>
      <c r="I120" s="42"/>
      <c r="J120" s="42"/>
      <c r="K120" s="98" t="s">
        <v>94</v>
      </c>
      <c r="L120" s="98"/>
      <c r="M120" s="98"/>
      <c r="N120" s="98"/>
    </row>
    <row r="121" spans="1:14" ht="16.8">
      <c r="B121" s="66" t="s">
        <v>95</v>
      </c>
      <c r="C121" s="66"/>
      <c r="D121" s="66"/>
      <c r="E121" s="66"/>
      <c r="H121" s="19">
        <f>H115*H119</f>
        <v>0.90999999999999992</v>
      </c>
      <c r="I121" s="42"/>
      <c r="J121" s="42"/>
      <c r="K121" s="67"/>
      <c r="L121" s="51"/>
      <c r="M121" s="51"/>
      <c r="N121" s="50"/>
    </row>
    <row r="122" spans="1:14" ht="16.8">
      <c r="B122" s="66" t="s">
        <v>97</v>
      </c>
      <c r="C122" s="66"/>
      <c r="D122" s="66"/>
      <c r="E122" s="66"/>
      <c r="H122" s="19">
        <f>H116*H110</f>
        <v>1.04</v>
      </c>
      <c r="I122" s="42"/>
      <c r="J122" s="42"/>
      <c r="K122" s="67"/>
      <c r="L122" s="52"/>
      <c r="M122" s="52"/>
      <c r="N122" s="50"/>
    </row>
    <row r="123" spans="1:14" ht="17.7">
      <c r="B123" s="66" t="s">
        <v>98</v>
      </c>
      <c r="C123" s="66"/>
      <c r="D123" s="66"/>
      <c r="E123" s="28"/>
      <c r="G123" s="22"/>
      <c r="H123" s="15">
        <f>H120*2+H121++H122</f>
        <v>3.1849999999999996</v>
      </c>
      <c r="I123" s="42"/>
      <c r="J123" s="42"/>
      <c r="K123" s="67"/>
      <c r="L123" s="51"/>
      <c r="M123" s="51"/>
      <c r="N123" s="50"/>
    </row>
    <row r="124" spans="1:14" ht="17.7">
      <c r="B124" s="66" t="s">
        <v>100</v>
      </c>
      <c r="C124" s="66"/>
      <c r="D124" s="66"/>
      <c r="E124" s="28"/>
      <c r="G124" s="22"/>
      <c r="H124" s="15">
        <f>H106*(H83+H119)*H123</f>
        <v>271.36199999999997</v>
      </c>
      <c r="I124" s="42"/>
      <c r="J124" s="42"/>
      <c r="K124" s="67"/>
      <c r="L124" s="51"/>
      <c r="M124" s="51"/>
      <c r="N124" s="50"/>
    </row>
    <row r="125" spans="1:14" ht="16.8">
      <c r="B125" s="79" t="s">
        <v>131</v>
      </c>
      <c r="C125" s="44"/>
      <c r="D125" s="44"/>
      <c r="E125" s="44"/>
      <c r="H125" s="15">
        <f>$H$124/C26</f>
        <v>1.9466427546628404</v>
      </c>
      <c r="I125" s="15">
        <f>$H$124/C30</f>
        <v>1.1335087719298245</v>
      </c>
      <c r="K125" s="109" t="s">
        <v>143</v>
      </c>
      <c r="L125" s="110"/>
      <c r="M125" s="110"/>
      <c r="N125" s="110"/>
    </row>
    <row r="126" spans="1:14">
      <c r="A126" s="66"/>
      <c r="B126" s="44"/>
      <c r="C126" s="44"/>
      <c r="D126" s="44"/>
      <c r="E126" s="44"/>
      <c r="G126" s="55"/>
      <c r="H126" s="55"/>
      <c r="I126" s="55"/>
      <c r="J126" s="55"/>
      <c r="K126" s="55"/>
      <c r="L126" s="69"/>
      <c r="M126" s="69"/>
      <c r="N126" s="69"/>
    </row>
    <row r="127" spans="1:14">
      <c r="A127" s="74" t="s">
        <v>70</v>
      </c>
      <c r="B127" s="108" t="s">
        <v>69</v>
      </c>
      <c r="C127" s="108"/>
      <c r="D127" s="108"/>
      <c r="E127" s="108"/>
      <c r="F127" s="108"/>
      <c r="G127" s="108"/>
      <c r="K127" s="69"/>
      <c r="L127" s="50"/>
      <c r="M127" s="50"/>
      <c r="N127" s="50"/>
    </row>
    <row r="128" spans="1:14" ht="18.75" customHeight="1">
      <c r="A128" s="20"/>
      <c r="B128" s="30" t="s">
        <v>9</v>
      </c>
      <c r="C128" s="20"/>
      <c r="D128" s="20"/>
      <c r="E128" s="20"/>
      <c r="H128" s="2">
        <v>2.25</v>
      </c>
      <c r="K128" s="97" t="s">
        <v>123</v>
      </c>
      <c r="L128" s="98"/>
      <c r="M128" s="98"/>
      <c r="N128" s="98"/>
    </row>
    <row r="129" spans="1:14" ht="16.8">
      <c r="A129" s="30"/>
      <c r="B129" s="30" t="s">
        <v>10</v>
      </c>
      <c r="C129" s="30"/>
      <c r="D129" s="30"/>
      <c r="E129" s="30"/>
      <c r="H129" s="18">
        <f>H88/H128</f>
        <v>28.799999999999997</v>
      </c>
    </row>
    <row r="130" spans="1:14" ht="16.8">
      <c r="B130" s="30" t="s">
        <v>118</v>
      </c>
      <c r="C130" s="30"/>
      <c r="D130" s="17"/>
      <c r="E130" s="30"/>
      <c r="H130" s="2">
        <v>60</v>
      </c>
    </row>
    <row r="131" spans="1:14">
      <c r="B131" s="83" t="s">
        <v>11</v>
      </c>
      <c r="C131" s="30"/>
      <c r="D131" s="17"/>
      <c r="E131" s="30"/>
      <c r="H131" s="19">
        <f>H88/H130</f>
        <v>1.0799999999999998</v>
      </c>
    </row>
    <row r="132" spans="1:14">
      <c r="A132" s="4"/>
      <c r="J132" s="12"/>
      <c r="L132" s="12"/>
      <c r="M132" s="12"/>
    </row>
    <row r="133" spans="1:14">
      <c r="A133" s="83" t="s">
        <v>72</v>
      </c>
      <c r="B133" s="84"/>
      <c r="H133" s="18">
        <f>48*H91^0.14</f>
        <v>65.020012517236196</v>
      </c>
      <c r="K133" s="97" t="s">
        <v>71</v>
      </c>
      <c r="L133" s="98"/>
      <c r="M133" s="98"/>
      <c r="N133" s="98"/>
    </row>
    <row r="134" spans="1:14">
      <c r="A134" s="8"/>
      <c r="B134" s="8"/>
      <c r="C134" s="8"/>
      <c r="D134" s="5"/>
      <c r="E134" s="5"/>
      <c r="K134" s="97"/>
      <c r="L134" s="98"/>
      <c r="M134" s="98"/>
      <c r="N134" s="98"/>
    </row>
    <row r="135" spans="1:14" ht="14.5" customHeight="1">
      <c r="A135" s="83" t="s">
        <v>73</v>
      </c>
      <c r="B135" s="8"/>
      <c r="C135" s="8"/>
      <c r="D135" s="5"/>
      <c r="E135" s="5"/>
      <c r="H135" s="18">
        <f>49.2*H91^0.18</f>
        <v>72.682476645646304</v>
      </c>
      <c r="K135" s="97" t="s">
        <v>71</v>
      </c>
      <c r="L135" s="98"/>
      <c r="M135" s="98"/>
      <c r="N135" s="98"/>
    </row>
    <row r="136" spans="1:14">
      <c r="A136" s="8"/>
      <c r="B136" s="8"/>
      <c r="C136" s="8"/>
      <c r="D136" s="5"/>
      <c r="E136" s="5"/>
      <c r="K136" s="97"/>
      <c r="L136" s="98"/>
      <c r="M136" s="98"/>
      <c r="N136" s="98"/>
    </row>
    <row r="137" spans="1:14">
      <c r="A137" s="83" t="s">
        <v>74</v>
      </c>
      <c r="B137" s="30"/>
      <c r="K137" s="97"/>
      <c r="L137" s="98"/>
      <c r="M137" s="98"/>
      <c r="N137" s="98"/>
    </row>
    <row r="138" spans="1:14">
      <c r="A138" s="66"/>
      <c r="B138" s="66" t="s">
        <v>75</v>
      </c>
      <c r="H138" s="18">
        <f>E38-(E38*H133)/100</f>
        <v>209.11039862962576</v>
      </c>
    </row>
    <row r="139" spans="1:14">
      <c r="A139" s="66"/>
      <c r="B139" s="66" t="s">
        <v>76</v>
      </c>
      <c r="H139" s="18">
        <f>E37-(E37*H135)/100</f>
        <v>89.817299407547438</v>
      </c>
    </row>
    <row r="140" spans="1:14">
      <c r="A140" s="66"/>
      <c r="B140" s="66"/>
    </row>
    <row r="141" spans="1:14" ht="16.8">
      <c r="A141" s="83" t="s">
        <v>132</v>
      </c>
      <c r="B141" s="83"/>
    </row>
    <row r="142" spans="1:14" ht="16.8">
      <c r="A142" s="66"/>
      <c r="B142" s="66" t="s">
        <v>105</v>
      </c>
      <c r="H142" s="18">
        <f>C26*24*E38/1000*0.8</f>
        <v>1600</v>
      </c>
      <c r="K142" s="119" t="s">
        <v>103</v>
      </c>
      <c r="L142" s="119"/>
      <c r="M142" s="119"/>
      <c r="N142" s="119"/>
    </row>
    <row r="143" spans="1:14" ht="14.85" customHeight="1">
      <c r="A143" s="66"/>
      <c r="B143" s="66" t="s">
        <v>106</v>
      </c>
      <c r="H143" s="18">
        <f>H142*E41/1000</f>
        <v>208</v>
      </c>
      <c r="K143" s="119"/>
      <c r="L143" s="119"/>
      <c r="M143" s="119"/>
      <c r="N143" s="119"/>
    </row>
    <row r="144" spans="1:14" ht="14.7">
      <c r="A144" s="66"/>
      <c r="B144" s="66" t="s">
        <v>101</v>
      </c>
      <c r="H144" s="15">
        <f>H143/0.75</f>
        <v>277.33333333333331</v>
      </c>
      <c r="K144" s="97" t="s">
        <v>102</v>
      </c>
      <c r="L144" s="98"/>
      <c r="M144" s="98"/>
      <c r="N144" s="98"/>
    </row>
    <row r="145" spans="1:14">
      <c r="A145" s="4"/>
      <c r="J145" s="12"/>
      <c r="L145" s="12"/>
      <c r="M145" s="12"/>
    </row>
    <row r="146" spans="1:14">
      <c r="A146" s="83" t="s">
        <v>107</v>
      </c>
      <c r="B146" s="30"/>
    </row>
    <row r="147" spans="1:14" ht="16.75" customHeight="1">
      <c r="A147" s="66"/>
      <c r="B147" s="66" t="s">
        <v>108</v>
      </c>
      <c r="H147" s="18">
        <f>H72*H82*H50</f>
        <v>54</v>
      </c>
      <c r="K147" s="57"/>
      <c r="L147" s="57"/>
      <c r="M147" s="57"/>
      <c r="N147" s="57"/>
    </row>
    <row r="148" spans="1:14" ht="14.85" customHeight="1">
      <c r="A148" s="66"/>
      <c r="B148" s="66" t="s">
        <v>109</v>
      </c>
      <c r="H148" s="19">
        <v>0.25</v>
      </c>
      <c r="K148" s="97" t="s">
        <v>63</v>
      </c>
      <c r="L148" s="98"/>
      <c r="M148" s="98"/>
      <c r="N148" s="98"/>
    </row>
    <row r="149" spans="1:14" ht="16.8">
      <c r="A149" s="66"/>
      <c r="B149" s="66" t="s">
        <v>110</v>
      </c>
      <c r="H149" s="15">
        <f>H147*H148</f>
        <v>13.5</v>
      </c>
      <c r="K149" s="97"/>
      <c r="L149" s="98"/>
      <c r="M149" s="98"/>
      <c r="N149" s="98"/>
    </row>
    <row r="150" spans="1:14" ht="14.5" customHeight="1">
      <c r="A150" s="4"/>
      <c r="B150" s="73" t="s">
        <v>111</v>
      </c>
      <c r="H150" s="15">
        <f>H144/24/H149</f>
        <v>0.8559670781893004</v>
      </c>
      <c r="J150" s="98" t="s">
        <v>127</v>
      </c>
      <c r="K150" s="98"/>
      <c r="L150" s="98"/>
      <c r="M150" s="98"/>
      <c r="N150" s="98"/>
    </row>
    <row r="151" spans="1:14" ht="45.75" customHeight="1">
      <c r="A151" s="4"/>
      <c r="J151" s="98"/>
      <c r="K151" s="98"/>
      <c r="L151" s="98"/>
      <c r="M151" s="98"/>
      <c r="N151" s="98"/>
    </row>
    <row r="152" spans="1:14">
      <c r="A152" s="108" t="s">
        <v>112</v>
      </c>
      <c r="B152" s="108"/>
      <c r="C152" s="108"/>
      <c r="D152" s="108"/>
    </row>
    <row r="153" spans="1:14" ht="16.8">
      <c r="B153" s="30" t="s">
        <v>113</v>
      </c>
      <c r="H153" s="35">
        <v>2</v>
      </c>
      <c r="I153" s="42"/>
      <c r="J153" s="42"/>
    </row>
    <row r="154" spans="1:14" ht="16.8">
      <c r="B154" s="30" t="s">
        <v>114</v>
      </c>
      <c r="H154" s="18">
        <f>(((4*H144/86400)/(H153*PI()))^0.5*1000)/H50</f>
        <v>11.301191514245053</v>
      </c>
      <c r="I154" s="42"/>
      <c r="J154" s="42"/>
    </row>
    <row r="155" spans="1:14" ht="16.8">
      <c r="B155" s="83" t="s">
        <v>133</v>
      </c>
      <c r="H155" s="46">
        <v>50</v>
      </c>
      <c r="I155" s="42"/>
      <c r="J155" s="42"/>
      <c r="K155" s="97" t="s">
        <v>115</v>
      </c>
      <c r="L155" s="98"/>
      <c r="M155" s="98"/>
      <c r="N155" s="98"/>
    </row>
    <row r="156" spans="1:14">
      <c r="B156" s="30"/>
      <c r="C156" s="30"/>
      <c r="D156" s="17"/>
      <c r="E156" s="30"/>
    </row>
    <row r="157" spans="1:14" s="23" customFormat="1">
      <c r="A157" s="32" t="s">
        <v>17</v>
      </c>
      <c r="B157" s="32"/>
      <c r="C157" s="32"/>
      <c r="D157" s="32"/>
      <c r="E157" s="32"/>
      <c r="F157" s="32"/>
      <c r="G157" s="32"/>
      <c r="H157" s="32"/>
      <c r="I157" s="32"/>
      <c r="J157" s="33"/>
      <c r="K157" s="101"/>
      <c r="L157" s="101"/>
      <c r="M157" s="101"/>
      <c r="N157" s="101"/>
    </row>
    <row r="158" spans="1:14">
      <c r="A158" s="118"/>
      <c r="B158" s="118"/>
      <c r="C158" s="118"/>
      <c r="D158" s="118"/>
    </row>
    <row r="159" spans="1:14">
      <c r="A159" s="30" t="s">
        <v>12</v>
      </c>
      <c r="C159" s="30"/>
      <c r="D159" s="17"/>
      <c r="H159" s="19">
        <f>(H88*H50)/C22</f>
        <v>1.2959999999999999E-2</v>
      </c>
    </row>
    <row r="160" spans="1:14">
      <c r="A160" s="30" t="s">
        <v>13</v>
      </c>
      <c r="C160" s="30"/>
      <c r="D160" s="17"/>
      <c r="H160" s="18">
        <f>(H48/C22)*1000</f>
        <v>59.245000000000005</v>
      </c>
    </row>
    <row r="161" spans="1:14" s="23" customFormat="1" ht="16.8">
      <c r="A161" s="37" t="s">
        <v>116</v>
      </c>
      <c r="H161" s="15">
        <f>H143*1000/C22</f>
        <v>10.4</v>
      </c>
      <c r="I161"/>
      <c r="J161"/>
      <c r="K161" s="97"/>
      <c r="L161" s="98"/>
      <c r="M161" s="98"/>
      <c r="N161" s="98"/>
    </row>
  </sheetData>
  <mergeCells count="47">
    <mergeCell ref="A158:D158"/>
    <mergeCell ref="K161:N161"/>
    <mergeCell ref="K157:N157"/>
    <mergeCell ref="A152:D152"/>
    <mergeCell ref="K134:N134"/>
    <mergeCell ref="K135:N135"/>
    <mergeCell ref="K136:N136"/>
    <mergeCell ref="K137:N137"/>
    <mergeCell ref="K149:N149"/>
    <mergeCell ref="K148:N148"/>
    <mergeCell ref="K155:N155"/>
    <mergeCell ref="K144:N144"/>
    <mergeCell ref="K142:N143"/>
    <mergeCell ref="J150:N151"/>
    <mergeCell ref="K133:N133"/>
    <mergeCell ref="K109:N109"/>
    <mergeCell ref="K54:N54"/>
    <mergeCell ref="K125:N125"/>
    <mergeCell ref="K103:N103"/>
    <mergeCell ref="K112:N112"/>
    <mergeCell ref="K87:N87"/>
    <mergeCell ref="K98:N98"/>
    <mergeCell ref="K99:N99"/>
    <mergeCell ref="K115:N119"/>
    <mergeCell ref="K92:N92"/>
    <mergeCell ref="A1:XFD2"/>
    <mergeCell ref="A3:B3"/>
    <mergeCell ref="J44:N44"/>
    <mergeCell ref="B114:G114"/>
    <mergeCell ref="B127:G127"/>
    <mergeCell ref="B105:G105"/>
    <mergeCell ref="B94:D94"/>
    <mergeCell ref="D74:F74"/>
    <mergeCell ref="K20:N20"/>
    <mergeCell ref="K32:N32"/>
    <mergeCell ref="K43:N43"/>
    <mergeCell ref="E20:H20"/>
    <mergeCell ref="E27:I30"/>
    <mergeCell ref="G32:J32"/>
    <mergeCell ref="K128:N128"/>
    <mergeCell ref="J46:N46"/>
    <mergeCell ref="J71:N72"/>
    <mergeCell ref="J73:N84"/>
    <mergeCell ref="J100:N100"/>
    <mergeCell ref="K85:N85"/>
    <mergeCell ref="K120:N120"/>
    <mergeCell ref="J91:N91"/>
  </mergeCells>
  <conditionalFormatting sqref="H85">
    <cfRule type="cellIs" dxfId="9" priority="12" operator="lessThanOrEqual">
      <formula>$H$73</formula>
    </cfRule>
  </conditionalFormatting>
  <conditionalFormatting sqref="H91">
    <cfRule type="cellIs" dxfId="8" priority="11" operator="lessThan">
      <formula>$H$46</formula>
    </cfRule>
  </conditionalFormatting>
  <conditionalFormatting sqref="H92">
    <cfRule type="cellIs" dxfId="7" priority="10" operator="notBetween">
      <formula>0.5</formula>
      <formula>0.7</formula>
    </cfRule>
  </conditionalFormatting>
  <conditionalFormatting sqref="I92">
    <cfRule type="cellIs" dxfId="6" priority="9" operator="greaterThanOrEqual">
      <formula>1.1</formula>
    </cfRule>
  </conditionalFormatting>
  <conditionalFormatting sqref="H103">
    <cfRule type="cellIs" dxfId="5" priority="8" operator="greaterThan">
      <formula>2.3</formula>
    </cfRule>
  </conditionalFormatting>
  <conditionalFormatting sqref="I103">
    <cfRule type="cellIs" dxfId="4" priority="7" operator="greaterThan">
      <formula>4.2</formula>
    </cfRule>
  </conditionalFormatting>
  <conditionalFormatting sqref="H112">
    <cfRule type="cellIs" dxfId="3" priority="6" operator="notBetween">
      <formula>0.6</formula>
      <formula>0.8</formula>
    </cfRule>
  </conditionalFormatting>
  <conditionalFormatting sqref="I112">
    <cfRule type="cellIs" dxfId="2" priority="4" operator="greaterThanOrEqual">
      <formula>1.2</formula>
    </cfRule>
  </conditionalFormatting>
  <conditionalFormatting sqref="H125">
    <cfRule type="cellIs" dxfId="1" priority="2" operator="lessThan">
      <formula>1.5</formula>
    </cfRule>
  </conditionalFormatting>
  <conditionalFormatting sqref="I125">
    <cfRule type="cellIs" dxfId="0" priority="1" operator="lessThan">
      <formula>1</formula>
    </cfRule>
  </conditionalFormatting>
  <pageMargins left="0.51181102362204722" right="0.51181102362204722" top="0.78740157480314965" bottom="0.78740157480314965" header="0.31496062992125984" footer="0.31496062992125984"/>
  <pageSetup paperSize="9" scale="4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6" r:id="rId4" name="Check Box 12">
              <controlPr defaultSize="0" autoFill="0" autoLine="0" autoPict="0">
                <anchor moveWithCells="1">
                  <from>
                    <xdr:col>3</xdr:col>
                    <xdr:colOff>323850</xdr:colOff>
                    <xdr:row>74</xdr:row>
                    <xdr:rowOff>171450</xdr:rowOff>
                  </from>
                  <to>
                    <xdr:col>3</xdr:col>
                    <xdr:colOff>1211580</xdr:colOff>
                    <xdr:row>76</xdr:row>
                    <xdr:rowOff>11430</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4</xdr:col>
                    <xdr:colOff>400050</xdr:colOff>
                    <xdr:row>74</xdr:row>
                    <xdr:rowOff>171450</xdr:rowOff>
                  </from>
                  <to>
                    <xdr:col>4</xdr:col>
                    <xdr:colOff>1276350</xdr:colOff>
                    <xdr:row>76</xdr:row>
                    <xdr:rowOff>11430</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4</xdr:col>
                    <xdr:colOff>400050</xdr:colOff>
                    <xdr:row>75</xdr:row>
                    <xdr:rowOff>182880</xdr:rowOff>
                  </from>
                  <to>
                    <xdr:col>4</xdr:col>
                    <xdr:colOff>1276350</xdr:colOff>
                    <xdr:row>77</xdr:row>
                    <xdr:rowOff>11430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4</xdr:col>
                    <xdr:colOff>400050</xdr:colOff>
                    <xdr:row>76</xdr:row>
                    <xdr:rowOff>182880</xdr:rowOff>
                  </from>
                  <to>
                    <xdr:col>4</xdr:col>
                    <xdr:colOff>1276350</xdr:colOff>
                    <xdr:row>78</xdr:row>
                    <xdr:rowOff>11430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4</xdr:col>
                    <xdr:colOff>400050</xdr:colOff>
                    <xdr:row>77</xdr:row>
                    <xdr:rowOff>182880</xdr:rowOff>
                  </from>
                  <to>
                    <xdr:col>4</xdr:col>
                    <xdr:colOff>1276350</xdr:colOff>
                    <xdr:row>79</xdr:row>
                    <xdr:rowOff>11430</xdr:rowOff>
                  </to>
                </anchor>
              </controlPr>
            </control>
          </mc:Choice>
        </mc:AlternateContent>
        <mc:AlternateContent xmlns:mc="http://schemas.openxmlformats.org/markup-compatibility/2006">
          <mc:Choice Requires="x14">
            <control shapeId="1041" r:id="rId9" name="Check Box 17">
              <controlPr defaultSize="0" autoFill="0" autoLine="0" autoPict="0">
                <anchor moveWithCells="1">
                  <from>
                    <xdr:col>4</xdr:col>
                    <xdr:colOff>392430</xdr:colOff>
                    <xdr:row>78</xdr:row>
                    <xdr:rowOff>182880</xdr:rowOff>
                  </from>
                  <to>
                    <xdr:col>4</xdr:col>
                    <xdr:colOff>1268730</xdr:colOff>
                    <xdr:row>80</xdr:row>
                    <xdr:rowOff>11430</xdr:rowOff>
                  </to>
                </anchor>
              </controlPr>
            </control>
          </mc:Choice>
        </mc:AlternateContent>
        <mc:AlternateContent xmlns:mc="http://schemas.openxmlformats.org/markup-compatibility/2006">
          <mc:Choice Requires="x14">
            <control shapeId="1042" r:id="rId10" name="Check Box 18">
              <controlPr defaultSize="0" autoFill="0" autoLine="0" autoPict="0">
                <anchor moveWithCells="1">
                  <from>
                    <xdr:col>4</xdr:col>
                    <xdr:colOff>392430</xdr:colOff>
                    <xdr:row>79</xdr:row>
                    <xdr:rowOff>182880</xdr:rowOff>
                  </from>
                  <to>
                    <xdr:col>4</xdr:col>
                    <xdr:colOff>1268730</xdr:colOff>
                    <xdr:row>81</xdr:row>
                    <xdr:rowOff>11430</xdr:rowOff>
                  </to>
                </anchor>
              </controlPr>
            </control>
          </mc:Choice>
        </mc:AlternateContent>
        <mc:AlternateContent xmlns:mc="http://schemas.openxmlformats.org/markup-compatibility/2006">
          <mc:Choice Requires="x14">
            <control shapeId="1043" r:id="rId11" name="Check Box 19">
              <controlPr defaultSize="0" autoFill="0" autoLine="0" autoPict="0">
                <anchor moveWithCells="1">
                  <from>
                    <xdr:col>5</xdr:col>
                    <xdr:colOff>392430</xdr:colOff>
                    <xdr:row>74</xdr:row>
                    <xdr:rowOff>171450</xdr:rowOff>
                  </from>
                  <to>
                    <xdr:col>6</xdr:col>
                    <xdr:colOff>38100</xdr:colOff>
                    <xdr:row>76</xdr:row>
                    <xdr:rowOff>11430</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5</xdr:col>
                    <xdr:colOff>400050</xdr:colOff>
                    <xdr:row>75</xdr:row>
                    <xdr:rowOff>182880</xdr:rowOff>
                  </from>
                  <to>
                    <xdr:col>6</xdr:col>
                    <xdr:colOff>38100</xdr:colOff>
                    <xdr:row>77</xdr:row>
                    <xdr:rowOff>11430</xdr:rowOff>
                  </to>
                </anchor>
              </controlPr>
            </control>
          </mc:Choice>
        </mc:AlternateContent>
        <mc:AlternateContent xmlns:mc="http://schemas.openxmlformats.org/markup-compatibility/2006">
          <mc:Choice Requires="x14">
            <control shapeId="1045" r:id="rId13" name="Check Box 21">
              <controlPr defaultSize="0" autoFill="0" autoLine="0" autoPict="0">
                <anchor moveWithCells="1">
                  <from>
                    <xdr:col>5</xdr:col>
                    <xdr:colOff>400050</xdr:colOff>
                    <xdr:row>76</xdr:row>
                    <xdr:rowOff>171450</xdr:rowOff>
                  </from>
                  <to>
                    <xdr:col>6</xdr:col>
                    <xdr:colOff>38100</xdr:colOff>
                    <xdr:row>78</xdr:row>
                    <xdr:rowOff>0</xdr:rowOff>
                  </to>
                </anchor>
              </controlPr>
            </control>
          </mc:Choice>
        </mc:AlternateContent>
        <mc:AlternateContent xmlns:mc="http://schemas.openxmlformats.org/markup-compatibility/2006">
          <mc:Choice Requires="x14">
            <control shapeId="1046" r:id="rId14" name="Check Box 22">
              <controlPr defaultSize="0" autoFill="0" autoLine="0" autoPict="0">
                <anchor moveWithCells="1">
                  <from>
                    <xdr:col>5</xdr:col>
                    <xdr:colOff>400050</xdr:colOff>
                    <xdr:row>77</xdr:row>
                    <xdr:rowOff>182880</xdr:rowOff>
                  </from>
                  <to>
                    <xdr:col>6</xdr:col>
                    <xdr:colOff>38100</xdr:colOff>
                    <xdr:row>79</xdr:row>
                    <xdr:rowOff>11430</xdr:rowOff>
                  </to>
                </anchor>
              </controlPr>
            </control>
          </mc:Choice>
        </mc:AlternateContent>
        <mc:AlternateContent xmlns:mc="http://schemas.openxmlformats.org/markup-compatibility/2006">
          <mc:Choice Requires="x14">
            <control shapeId="1047" r:id="rId15" name="Check Box 23">
              <controlPr defaultSize="0" autoFill="0" autoLine="0" autoPict="0">
                <anchor moveWithCells="1">
                  <from>
                    <xdr:col>5</xdr:col>
                    <xdr:colOff>400050</xdr:colOff>
                    <xdr:row>78</xdr:row>
                    <xdr:rowOff>182880</xdr:rowOff>
                  </from>
                  <to>
                    <xdr:col>6</xdr:col>
                    <xdr:colOff>38100</xdr:colOff>
                    <xdr:row>80</xdr:row>
                    <xdr:rowOff>11430</xdr:rowOff>
                  </to>
                </anchor>
              </controlPr>
            </control>
          </mc:Choice>
        </mc:AlternateContent>
        <mc:AlternateContent xmlns:mc="http://schemas.openxmlformats.org/markup-compatibility/2006">
          <mc:Choice Requires="x14">
            <control shapeId="1048" r:id="rId16" name="Check Box 24">
              <controlPr defaultSize="0" autoFill="0" autoLine="0" autoPict="0">
                <anchor moveWithCells="1">
                  <from>
                    <xdr:col>5</xdr:col>
                    <xdr:colOff>400050</xdr:colOff>
                    <xdr:row>79</xdr:row>
                    <xdr:rowOff>182880</xdr:rowOff>
                  </from>
                  <to>
                    <xdr:col>6</xdr:col>
                    <xdr:colOff>38100</xdr:colOff>
                    <xdr:row>81</xdr:row>
                    <xdr:rowOff>11430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UASB reactor design</vt:lpstr>
      <vt:lpstr>'UASB reactor design'!Print_Area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Thiago Bressani</cp:lastModifiedBy>
  <cp:lastPrinted>2017-06-21T17:47:00Z</cp:lastPrinted>
  <dcterms:created xsi:type="dcterms:W3CDTF">2017-06-01T19:21:04Z</dcterms:created>
  <dcterms:modified xsi:type="dcterms:W3CDTF">2019-05-30T19:17:51Z</dcterms:modified>
</cp:coreProperties>
</file>